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60" windowWidth="19320" windowHeight="11940"/>
  </bookViews>
  <sheets>
    <sheet name="Exercise" sheetId="33" r:id="rId1"/>
    <sheet name="senseInfo" sheetId="30" state="hidden" r:id="rId2"/>
    <sheet name="Solutions" sheetId="29" r:id="rId3"/>
    <sheet name="SA simulations" sheetId="31" r:id="rId4"/>
  </sheets>
  <definedNames>
    <definedName name="_AtRisk_FitDataRange_FIT_2EA2D_31513" localSheetId="0" hidden="1">#REF!</definedName>
    <definedName name="_AtRisk_FitDataRange_FIT_2EA2D_31513" localSheetId="2" hidden="1">#REF!</definedName>
    <definedName name="_AtRisk_FitDataRange_FIT_2EA2D_31513" hidden="1">#REF!</definedName>
    <definedName name="_AtRisk_FitDataRange_FIT_3087D_87EE6" localSheetId="0" hidden="1">#REF!</definedName>
    <definedName name="_AtRisk_FitDataRange_FIT_3087D_87EE6" localSheetId="2" hidden="1">#REF!</definedName>
    <definedName name="_AtRisk_FitDataRange_FIT_3087D_87EE6" hidden="1">#REF!</definedName>
    <definedName name="_AtRisk_FitDataRange_FIT_99744_23E30" localSheetId="0" hidden="1">#REF!</definedName>
    <definedName name="_AtRisk_FitDataRange_FIT_99744_23E30" localSheetId="2" hidden="1">#REF!</definedName>
    <definedName name="_AtRisk_FitDataRange_FIT_99744_23E30" hidden="1">#REF!</definedName>
    <definedName name="_AtRisk_FitDataRange_FIT_A00CB_F2A49" localSheetId="0" hidden="1">#REF!</definedName>
    <definedName name="_AtRisk_FitDataRange_FIT_A00CB_F2A49" localSheetId="2" hidden="1">#REF!</definedName>
    <definedName name="_AtRisk_FitDataRange_FIT_A00CB_F2A49" hidden="1">#REF!</definedName>
    <definedName name="_AtRisk_FitDataRange_FIT_EFCC9_7E729" localSheetId="0" hidden="1">#REF!</definedName>
    <definedName name="_AtRisk_FitDataRange_FIT_EFCC9_7E729" localSheetId="2" hidden="1">#REF!</definedName>
    <definedName name="_AtRisk_FitDataRange_FIT_EFCC9_7E729"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2</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a" localSheetId="0" hidden="1">#REF!</definedName>
    <definedName name="a" hidden="1">#REF!</definedName>
    <definedName name="aaaaaaaaa" hidden="1">#REF!</definedName>
    <definedName name="Pal_Workbook_GUID" hidden="1">"T46ZT21QM9IQQTJ8KIWNV13Q"</definedName>
    <definedName name="PalisadeReportWorkbookCreatedBy">"AtRisk"</definedName>
    <definedName name="RiskAfterRecalcMacro" hidden="1">""</definedName>
    <definedName name="RiskAfterSimMacro" hidden="1">""</definedName>
    <definedName name="riskATSSboxGraph" hidden="1">FALSE</definedName>
    <definedName name="riskATSSincludeSimtables" hidden="1">FALSE</definedName>
    <definedName name="riskATSSinputsGraphs" hidden="1">FALSE</definedName>
    <definedName name="riskATSSoutputStatistic" hidden="1">6</definedName>
    <definedName name="riskATSSpercentChangeGraph" hidden="1">FALSE</definedName>
    <definedName name="riskATSSpercentileGraph" hidden="1">TRUE</definedName>
    <definedName name="riskATSSpercentileValue" hidden="1">0.95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45621"/>
</workbook>
</file>

<file path=xl/calcChain.xml><?xml version="1.0" encoding="utf-8"?>
<calcChain xmlns="http://schemas.openxmlformats.org/spreadsheetml/2006/main">
  <c r="F61" i="29" l="1"/>
  <c r="F56" i="29"/>
  <c r="F53" i="29"/>
  <c r="F52" i="29"/>
  <c r="F48" i="29"/>
  <c r="F44" i="29"/>
  <c r="F30" i="29"/>
  <c r="F28" i="29"/>
  <c r="F26" i="29"/>
  <c r="F61" i="33"/>
  <c r="F56" i="33"/>
  <c r="F53" i="33"/>
  <c r="F52" i="33"/>
  <c r="F48" i="33"/>
  <c r="F44" i="33"/>
  <c r="F30" i="33"/>
  <c r="K28" i="33" s="1"/>
  <c r="F28" i="33"/>
  <c r="K27" i="33" s="1"/>
  <c r="F26" i="33"/>
  <c r="K26" i="33" s="1"/>
  <c r="F54" i="33"/>
  <c r="K36" i="33"/>
  <c r="F54" i="29"/>
  <c r="K36" i="29"/>
  <c r="K43" i="33" l="1"/>
  <c r="K44" i="33" s="1"/>
  <c r="K45" i="33" s="1"/>
  <c r="Q26" i="33"/>
  <c r="Q27" i="33" s="1"/>
  <c r="Q28" i="33" s="1"/>
  <c r="K52" i="33"/>
  <c r="E6" i="30"/>
  <c r="K27" i="29"/>
  <c r="E9" i="30"/>
  <c r="E12" i="30"/>
  <c r="K43" i="29"/>
  <c r="K44" i="29" s="1"/>
  <c r="K45" i="29" s="1"/>
  <c r="E8" i="30"/>
  <c r="E10" i="30"/>
  <c r="K52" i="29"/>
  <c r="E11" i="30"/>
  <c r="K26" i="29"/>
  <c r="E5" i="30"/>
  <c r="K28" i="29"/>
  <c r="E7" i="30"/>
  <c r="E13" i="30"/>
  <c r="Q29" i="33"/>
  <c r="Q36" i="33" l="1"/>
  <c r="Q43" i="33" s="1"/>
  <c r="Q26" i="29"/>
  <c r="Q39" i="33"/>
  <c r="Q29" i="29"/>
  <c r="Q44" i="33"/>
  <c r="Q37" i="33" l="1"/>
  <c r="Q38" i="33" s="1"/>
  <c r="Q52" i="33"/>
  <c r="Q27" i="29"/>
  <c r="Q28" i="29" s="1"/>
  <c r="Q36" i="29"/>
  <c r="Q55" i="33"/>
  <c r="Q39" i="29"/>
  <c r="Q53" i="33" l="1"/>
  <c r="Q54" i="33" s="1"/>
  <c r="Q37" i="29"/>
  <c r="Q38" i="29" s="1"/>
  <c r="Q43" i="29"/>
  <c r="Q44" i="29"/>
  <c r="Q56" i="33"/>
  <c r="Q52" i="29" l="1"/>
  <c r="Q55" i="29"/>
  <c r="Q53" i="29" l="1"/>
  <c r="Q54" i="29" s="1"/>
  <c r="Q56" i="29"/>
  <c r="E2" i="30" l="1"/>
</calcChain>
</file>

<file path=xl/sharedStrings.xml><?xml version="1.0" encoding="utf-8"?>
<sst xmlns="http://schemas.openxmlformats.org/spreadsheetml/2006/main" count="1044" uniqueCount="254">
  <si>
    <t>INPUTS</t>
  </si>
  <si>
    <t>INTERMEDIATE VARIABLES</t>
  </si>
  <si>
    <t>OUTPUTS</t>
  </si>
  <si>
    <t>Description</t>
  </si>
  <si>
    <t>Type</t>
  </si>
  <si>
    <t>Distribution</t>
  </si>
  <si>
    <t>Named</t>
  </si>
  <si>
    <t>Value</t>
  </si>
  <si>
    <t>Deterministic</t>
  </si>
  <si>
    <t>/</t>
  </si>
  <si>
    <t>kg</t>
  </si>
  <si>
    <t>Weight of product unit, a pack</t>
  </si>
  <si>
    <t>g</t>
  </si>
  <si>
    <t>Microbial load per product unit after partitionning</t>
  </si>
  <si>
    <t>Probabilistic</t>
  </si>
  <si>
    <t>cfu/pu</t>
  </si>
  <si>
    <t>Time of the treatment</t>
  </si>
  <si>
    <t>min</t>
  </si>
  <si>
    <t>Performance criteria for primary model 1</t>
  </si>
  <si>
    <t>Microbial load per product unit after heat treatment</t>
  </si>
  <si>
    <t>Decimal reduction time reference</t>
  </si>
  <si>
    <t xml:space="preserve">D* </t>
  </si>
  <si>
    <t>D</t>
  </si>
  <si>
    <t xml:space="preserve">Temperature of the treatment </t>
  </si>
  <si>
    <t>°C</t>
  </si>
  <si>
    <t>Reference temperature</t>
  </si>
  <si>
    <t>T*</t>
  </si>
  <si>
    <t>Percentage of product unit contaminated</t>
  </si>
  <si>
    <t>% pu</t>
  </si>
  <si>
    <t>Temperature resistance</t>
  </si>
  <si>
    <r>
      <t>W</t>
    </r>
    <r>
      <rPr>
        <vertAlign val="subscript"/>
        <sz val="10"/>
        <rFont val="Times New Roman"/>
        <family val="1"/>
      </rPr>
      <t>pu</t>
    </r>
  </si>
  <si>
    <r>
      <t>t</t>
    </r>
    <r>
      <rPr>
        <vertAlign val="subscript"/>
        <sz val="10"/>
        <rFont val="Times New Roman"/>
        <family val="1"/>
      </rPr>
      <t>HT</t>
    </r>
  </si>
  <si>
    <r>
      <t>T</t>
    </r>
    <r>
      <rPr>
        <vertAlign val="subscript"/>
        <sz val="10"/>
        <rFont val="Times New Roman"/>
        <family val="1"/>
      </rPr>
      <t>HT</t>
    </r>
  </si>
  <si>
    <r>
      <t>z</t>
    </r>
    <r>
      <rPr>
        <vertAlign val="subscript"/>
        <sz val="10"/>
        <rFont val="Times New Roman"/>
        <family val="1"/>
      </rPr>
      <t>T</t>
    </r>
  </si>
  <si>
    <t>p</t>
  </si>
  <si>
    <r>
      <t>N</t>
    </r>
    <r>
      <rPr>
        <vertAlign val="subscript"/>
        <sz val="10"/>
        <rFont val="Times New Roman"/>
        <family val="1"/>
      </rPr>
      <t>pu</t>
    </r>
  </si>
  <si>
    <r>
      <t>N</t>
    </r>
    <r>
      <rPr>
        <vertAlign val="subscript"/>
        <sz val="10"/>
        <rFont val="Times New Roman"/>
        <family val="1"/>
      </rPr>
      <t>pu</t>
    </r>
    <r>
      <rPr>
        <sz val="10"/>
        <rFont val="Times New Roman"/>
        <family val="1"/>
      </rPr>
      <t>=Poisson(No</t>
    </r>
    <r>
      <rPr>
        <vertAlign val="subscript"/>
        <sz val="10"/>
        <rFont val="Times New Roman"/>
        <family val="1"/>
      </rPr>
      <t>pu</t>
    </r>
    <r>
      <rPr>
        <sz val="10"/>
        <rFont val="Times New Roman"/>
        <family val="1"/>
      </rPr>
      <t>*10^-PC)</t>
    </r>
  </si>
  <si>
    <r>
      <t>PC=t</t>
    </r>
    <r>
      <rPr>
        <vertAlign val="subscript"/>
        <sz val="10"/>
        <rFont val="Times New Roman"/>
        <family val="1"/>
      </rPr>
      <t>HT</t>
    </r>
    <r>
      <rPr>
        <sz val="10"/>
        <rFont val="Times New Roman"/>
        <family val="1"/>
      </rPr>
      <t>/D</t>
    </r>
  </si>
  <si>
    <t>Decimal reduction for secondary model</t>
  </si>
  <si>
    <r>
      <t>p=1-risktarget(N</t>
    </r>
    <r>
      <rPr>
        <vertAlign val="subscript"/>
        <sz val="10"/>
        <rFont val="Times New Roman"/>
        <family val="1"/>
      </rPr>
      <t>pu</t>
    </r>
    <r>
      <rPr>
        <sz val="10"/>
        <rFont val="Times New Roman"/>
        <family val="1"/>
      </rPr>
      <t>;0)</t>
    </r>
  </si>
  <si>
    <t>Uniform(48;192)</t>
  </si>
  <si>
    <t>lag</t>
  </si>
  <si>
    <t>h</t>
  </si>
  <si>
    <t>Growth rate model</t>
  </si>
  <si>
    <r>
      <t>µ = µ</t>
    </r>
    <r>
      <rPr>
        <vertAlign val="subscript"/>
        <sz val="11"/>
        <rFont val="Times New Roman"/>
        <family val="1"/>
      </rPr>
      <t>opt</t>
    </r>
    <r>
      <rPr>
        <sz val="11"/>
        <rFont val="Times New Roman"/>
        <family val="1"/>
      </rPr>
      <t xml:space="preserve"> . ((T-Tmin)/(Topt-Tmin))</t>
    </r>
    <r>
      <rPr>
        <vertAlign val="superscript"/>
        <sz val="11"/>
        <rFont val="Times New Roman"/>
        <family val="1"/>
      </rPr>
      <t>2</t>
    </r>
    <r>
      <rPr>
        <sz val="11"/>
        <rFont val="Times New Roman"/>
        <family val="1"/>
      </rPr>
      <t xml:space="preserve"> . ((pH-pHmin)/(pHopt-pHmin))</t>
    </r>
    <r>
      <rPr>
        <vertAlign val="superscript"/>
        <sz val="11"/>
        <rFont val="Times New Roman"/>
        <family val="1"/>
      </rPr>
      <t>2</t>
    </r>
    <r>
      <rPr>
        <sz val="11"/>
        <rFont val="Times New Roman"/>
        <family val="1"/>
      </rPr>
      <t xml:space="preserve"> + εµ </t>
    </r>
  </si>
  <si>
    <t>h-1</t>
  </si>
  <si>
    <t>Microbial load per product unit after storage</t>
  </si>
  <si>
    <r>
      <t>If t</t>
    </r>
    <r>
      <rPr>
        <vertAlign val="subscript"/>
        <sz val="10"/>
        <rFont val="Times New Roman"/>
        <family val="1"/>
      </rPr>
      <t>s</t>
    </r>
    <r>
      <rPr>
        <sz val="10"/>
        <rFont val="Times New Roman"/>
        <family val="1"/>
      </rPr>
      <t xml:space="preserve"> &gt; lag: N</t>
    </r>
    <r>
      <rPr>
        <vertAlign val="subscript"/>
        <sz val="10"/>
        <rFont val="Times New Roman"/>
        <family val="1"/>
      </rPr>
      <t>pu</t>
    </r>
    <r>
      <rPr>
        <sz val="10"/>
        <rFont val="Times New Roman"/>
        <family val="1"/>
      </rPr>
      <t>=N0</t>
    </r>
    <r>
      <rPr>
        <vertAlign val="subscript"/>
        <sz val="10"/>
        <rFont val="Times New Roman"/>
        <family val="1"/>
      </rPr>
      <t>pu</t>
    </r>
    <r>
      <rPr>
        <sz val="10"/>
        <rFont val="Times New Roman"/>
        <family val="1"/>
      </rPr>
      <t>*exp(µ*(t</t>
    </r>
    <r>
      <rPr>
        <vertAlign val="subscript"/>
        <sz val="10"/>
        <rFont val="Times New Roman"/>
        <family val="1"/>
      </rPr>
      <t>s</t>
    </r>
    <r>
      <rPr>
        <sz val="10"/>
        <rFont val="Times New Roman"/>
        <family val="1"/>
      </rPr>
      <t>-lag))</t>
    </r>
  </si>
  <si>
    <t>Temperature of the product storage</t>
  </si>
  <si>
    <t>Normal(6,2)</t>
  </si>
  <si>
    <t>T</t>
  </si>
  <si>
    <t>Microbial concentration in a product unit after storage</t>
  </si>
  <si>
    <r>
      <t>[N</t>
    </r>
    <r>
      <rPr>
        <vertAlign val="subscript"/>
        <sz val="11"/>
        <rFont val="Times New Roman"/>
        <family val="1"/>
      </rPr>
      <t>pu</t>
    </r>
    <r>
      <rPr>
        <sz val="11"/>
        <rFont val="Times New Roman"/>
        <family val="1"/>
      </rPr>
      <t>]</t>
    </r>
  </si>
  <si>
    <r>
      <t>[N</t>
    </r>
    <r>
      <rPr>
        <vertAlign val="subscript"/>
        <sz val="11"/>
        <rFont val="Times New Roman"/>
        <family val="1"/>
      </rPr>
      <t>pu</t>
    </r>
    <r>
      <rPr>
        <sz val="11"/>
        <rFont val="Times New Roman"/>
        <family val="1"/>
      </rPr>
      <t>]=N</t>
    </r>
    <r>
      <rPr>
        <vertAlign val="subscript"/>
        <sz val="11"/>
        <rFont val="Times New Roman"/>
        <family val="1"/>
      </rPr>
      <t>pu</t>
    </r>
    <r>
      <rPr>
        <sz val="11"/>
        <rFont val="Times New Roman"/>
        <family val="1"/>
      </rPr>
      <t>/W</t>
    </r>
    <r>
      <rPr>
        <vertAlign val="subscript"/>
        <sz val="11"/>
        <rFont val="Times New Roman"/>
        <family val="1"/>
      </rPr>
      <t>pu</t>
    </r>
  </si>
  <si>
    <t>cfu/g</t>
  </si>
  <si>
    <t>Time of the product storage (shelf life)</t>
  </si>
  <si>
    <r>
      <t>t</t>
    </r>
    <r>
      <rPr>
        <vertAlign val="subscript"/>
        <sz val="11"/>
        <rFont val="Times New Roman"/>
        <family val="1"/>
      </rPr>
      <t>s</t>
    </r>
  </si>
  <si>
    <t>in log</t>
  </si>
  <si>
    <t xml:space="preserve">log cfu/g </t>
  </si>
  <si>
    <t>pH of the product</t>
  </si>
  <si>
    <t>pH</t>
  </si>
  <si>
    <t>Minimal temperature of growth</t>
  </si>
  <si>
    <r>
      <t>Normal(4</t>
    </r>
    <r>
      <rPr>
        <sz val="11"/>
        <rFont val="Times New Roman"/>
        <family val="1"/>
      </rPr>
      <t xml:space="preserve">;0.2) </t>
    </r>
  </si>
  <si>
    <r>
      <t>T</t>
    </r>
    <r>
      <rPr>
        <vertAlign val="subscript"/>
        <sz val="11"/>
        <rFont val="Times New Roman"/>
        <family val="1"/>
      </rPr>
      <t>min</t>
    </r>
  </si>
  <si>
    <t>Percentage of product unit contaminated with more than 5 log cfu/g</t>
  </si>
  <si>
    <r>
      <t>p</t>
    </r>
    <r>
      <rPr>
        <vertAlign val="subscript"/>
        <sz val="10"/>
        <rFont val="Times New Roman"/>
        <family val="1"/>
      </rPr>
      <t>5log</t>
    </r>
    <r>
      <rPr>
        <sz val="10"/>
        <rFont val="Times New Roman"/>
        <family val="1"/>
      </rPr>
      <t>=1-risktarget([N</t>
    </r>
    <r>
      <rPr>
        <vertAlign val="subscript"/>
        <sz val="10"/>
        <rFont val="Times New Roman"/>
        <family val="1"/>
      </rPr>
      <t>pu</t>
    </r>
    <r>
      <rPr>
        <sz val="10"/>
        <rFont val="Times New Roman"/>
        <family val="1"/>
      </rPr>
      <t>],5)</t>
    </r>
  </si>
  <si>
    <t>Optimal temperature of growth</t>
  </si>
  <si>
    <r>
      <t>T</t>
    </r>
    <r>
      <rPr>
        <vertAlign val="subscript"/>
        <sz val="11"/>
        <rFont val="Times New Roman"/>
        <family val="1"/>
      </rPr>
      <t>opt</t>
    </r>
  </si>
  <si>
    <t>Optimal growth rate</t>
  </si>
  <si>
    <r>
      <t>µ</t>
    </r>
    <r>
      <rPr>
        <vertAlign val="subscript"/>
        <sz val="11"/>
        <rFont val="Times New Roman"/>
        <family val="1"/>
      </rPr>
      <t>opt</t>
    </r>
  </si>
  <si>
    <r>
      <t>h</t>
    </r>
    <r>
      <rPr>
        <vertAlign val="superscript"/>
        <sz val="11"/>
        <rFont val="Times New Roman"/>
        <family val="1"/>
      </rPr>
      <t>-1</t>
    </r>
  </si>
  <si>
    <t>Optimal pH of growth</t>
  </si>
  <si>
    <r>
      <t>pH</t>
    </r>
    <r>
      <rPr>
        <vertAlign val="subscript"/>
        <sz val="11"/>
        <rFont val="Times New Roman"/>
        <family val="1"/>
      </rPr>
      <t>opt</t>
    </r>
  </si>
  <si>
    <t>Minimal pH of growth</t>
  </si>
  <si>
    <r>
      <t>pH</t>
    </r>
    <r>
      <rPr>
        <vertAlign val="subscript"/>
        <sz val="11"/>
        <rFont val="Times New Roman"/>
        <family val="1"/>
      </rPr>
      <t>min</t>
    </r>
  </si>
  <si>
    <t>Growth rate model error</t>
  </si>
  <si>
    <r>
      <t>Normal(0</t>
    </r>
    <r>
      <rPr>
        <sz val="11"/>
        <rFont val="Times New Roman"/>
        <family val="1"/>
      </rPr>
      <t xml:space="preserve">;0.01) </t>
    </r>
  </si>
  <si>
    <t xml:space="preserve">εµ </t>
  </si>
  <si>
    <t>Heat treatment model error</t>
  </si>
  <si>
    <t xml:space="preserve">senseTotal: </t>
  </si>
  <si>
    <t>selectionIndex</t>
  </si>
  <si>
    <t>formulaIndex</t>
  </si>
  <si>
    <t>cellAddress</t>
  </si>
  <si>
    <t>rangeAddress</t>
  </si>
  <si>
    <t>bookName</t>
  </si>
  <si>
    <t>sheetName</t>
  </si>
  <si>
    <t>ioIndex</t>
  </si>
  <si>
    <t>checkSelected</t>
  </si>
  <si>
    <t>baseValue</t>
  </si>
  <si>
    <t>useCellBase</t>
  </si>
  <si>
    <t>minPercent</t>
  </si>
  <si>
    <t>maxPercent</t>
  </si>
  <si>
    <t>minValue</t>
  </si>
  <si>
    <t>maxValue</t>
  </si>
  <si>
    <t>numIntervals</t>
  </si>
  <si>
    <t>intIndex</t>
  </si>
  <si>
    <t>varyWhenStepping</t>
  </si>
  <si>
    <t>intervalMode</t>
  </si>
  <si>
    <t>tableRange</t>
  </si>
  <si>
    <t>analysisString</t>
  </si>
  <si>
    <t>isInput</t>
  </si>
  <si>
    <t>groupIndex</t>
  </si>
  <si>
    <t>groupCount</t>
  </si>
  <si>
    <t>Correction</t>
  </si>
  <si>
    <t>D* / Value</t>
  </si>
  <si>
    <t/>
  </si>
  <si>
    <t>Perc%: 1%</t>
  </si>
  <si>
    <t>Perc%: 5%</t>
  </si>
  <si>
    <t>Perc%: 25%</t>
  </si>
  <si>
    <t>Perc%: 50%</t>
  </si>
  <si>
    <t>Perc%: 75%</t>
  </si>
  <si>
    <t>Perc%: 95%</t>
  </si>
  <si>
    <t>Perc%: 99%</t>
  </si>
  <si>
    <t>0</t>
  </si>
  <si>
    <t>lag / Value</t>
  </si>
  <si>
    <t>=RiskUniform(48,192)</t>
  </si>
  <si>
    <t>RiskUniform(48,192)</t>
  </si>
  <si>
    <t>120</t>
  </si>
  <si>
    <t>T / Value</t>
  </si>
  <si>
    <t>Tmin / Value</t>
  </si>
  <si>
    <t>=RiskNormal(4,0.2)</t>
  </si>
  <si>
    <t>RiskNormal(4,0.2)</t>
  </si>
  <si>
    <t>4</t>
  </si>
  <si>
    <t>=RiskNormal(0,0.01)</t>
  </si>
  <si>
    <t>RiskNormal(0,0.01)</t>
  </si>
  <si>
    <t>=RiskNormal(0,0.06)</t>
  </si>
  <si>
    <t>RiskNormal(0,0.06)</t>
  </si>
  <si>
    <t>eµ / Value</t>
  </si>
  <si>
    <r>
      <t>ε</t>
    </r>
    <r>
      <rPr>
        <vertAlign val="subscript"/>
        <sz val="10"/>
        <rFont val="Times New Roman"/>
        <family val="1"/>
      </rPr>
      <t>HT</t>
    </r>
  </si>
  <si>
    <t>Normal(0,0.06)</t>
  </si>
  <si>
    <r>
      <t>p</t>
    </r>
    <r>
      <rPr>
        <vertAlign val="subscript"/>
        <sz val="10"/>
        <rFont val="Times New Roman"/>
        <family val="1"/>
      </rPr>
      <t>5log</t>
    </r>
  </si>
  <si>
    <t>eHT / Value</t>
  </si>
  <si>
    <t xml:space="preserve">Lag time </t>
  </si>
  <si>
    <t>8°C</t>
  </si>
  <si>
    <t>6°C</t>
  </si>
  <si>
    <t>pH=5.5</t>
  </si>
  <si>
    <t>pH=6</t>
  </si>
  <si>
    <t>1- Identify all the inputs of the model which are probabilistic and might influence the output: the microbial concentration in a product unit after storage in log.</t>
  </si>
  <si>
    <t xml:space="preserve">3- Interpret the results of the sensitivity analysis: which input influence the most the output? </t>
  </si>
  <si>
    <t>4- Use now the model to evaluate different scenarios.Imagine your manager is asking you: if I want to change the shelf life of the puree at 28 days, what-if I change the pH at 5.5 and/or the temperature of storage at a mean of 8°C (standard deviation is still 2)?</t>
  </si>
  <si>
    <t>QMRA Model: Bacillus cereus in REPFED product as "purée" (mashed carrot)</t>
  </si>
  <si>
    <t>Product</t>
  </si>
  <si>
    <t>Mean temperature</t>
  </si>
  <si>
    <t>Input</t>
  </si>
  <si>
    <t>Output: in log / Value</t>
  </si>
  <si>
    <t>Name</t>
  </si>
  <si>
    <t>Cell</t>
  </si>
  <si>
    <t>Analysis</t>
  </si>
  <si>
    <t>Mean</t>
  </si>
  <si>
    <t>Min</t>
  </si>
  <si>
    <t>Max</t>
  </si>
  <si>
    <t>Mode</t>
  </si>
  <si>
    <t>Median</t>
  </si>
  <si>
    <t>StdDev</t>
  </si>
  <si>
    <t>Var</t>
  </si>
  <si>
    <t>Kurtosis</t>
  </si>
  <si>
    <t>Skewness</t>
  </si>
  <si>
    <r>
      <t>Figure E8-3:</t>
    </r>
    <r>
      <rPr>
        <sz val="12"/>
        <color theme="1"/>
        <rFont val="Times New Roman"/>
        <family val="1"/>
      </rPr>
      <t xml:space="preserve"> Percentage of product unit contaminated with more than 5 log cfu/g at a shelf life of 28 days for different scenarios</t>
    </r>
  </si>
  <si>
    <r>
      <t>Table E8-1:</t>
    </r>
    <r>
      <rPr>
        <sz val="12"/>
        <color theme="1"/>
        <rFont val="Times New Roman"/>
        <family val="1"/>
      </rPr>
      <t xml:space="preserve"> Scenarios analysis: percentage of product unit contaminated with more than 5 log cfu/g at a shelf life of 28 days</t>
    </r>
  </si>
  <si>
    <r>
      <t>logD=logD* - (T-T*)/z</t>
    </r>
    <r>
      <rPr>
        <vertAlign val="subscript"/>
        <sz val="10"/>
        <rFont val="Times New Roman"/>
        <family val="1"/>
      </rPr>
      <t>T</t>
    </r>
    <r>
      <rPr>
        <sz val="10"/>
        <rFont val="Times New Roman"/>
        <family val="1"/>
      </rPr>
      <t xml:space="preserve"> + ε</t>
    </r>
    <r>
      <rPr>
        <vertAlign val="subscript"/>
        <sz val="10"/>
        <rFont val="Times New Roman"/>
        <family val="1"/>
      </rPr>
      <t>HT</t>
    </r>
  </si>
  <si>
    <t>,</t>
  </si>
  <si>
    <t xml:space="preserve">Percentile: 1,00% to 99,00% </t>
  </si>
  <si>
    <t>1,00%</t>
  </si>
  <si>
    <t>5,00%</t>
  </si>
  <si>
    <t>25,00%</t>
  </si>
  <si>
    <t>50,00%</t>
  </si>
  <si>
    <t>75,00%</t>
  </si>
  <si>
    <t>95,00%</t>
  </si>
  <si>
    <t>99,00%</t>
  </si>
  <si>
    <r>
      <t>Figure E8-2:</t>
    </r>
    <r>
      <rPr>
        <sz val="11"/>
        <color theme="1"/>
        <rFont val="Times New Roman"/>
        <family val="1"/>
      </rPr>
      <t xml:space="preserve"> Tornado graph of the sensitivity analysis of the microbial concentration in a product unit after storage (log)</t>
    </r>
  </si>
  <si>
    <r>
      <t>Figure E8-1:</t>
    </r>
    <r>
      <rPr>
        <sz val="11"/>
        <color theme="1"/>
        <rFont val="Times New Roman"/>
        <family val="1"/>
      </rPr>
      <t xml:space="preserve"> Percentile graph of the sensitivity analysis of  the microbial concentration in a product unit after storage (log)</t>
    </r>
  </si>
  <si>
    <t>Table of simulations of the sensitivity analysis of the microbial concentration in a product unit after storage (log)</t>
  </si>
  <si>
    <t>=RiskNormal(6,2)</t>
  </si>
  <si>
    <t>RiskNormal(6,2)</t>
  </si>
  <si>
    <t>6</t>
  </si>
  <si>
    <t>Lognorm(5;10)</t>
  </si>
  <si>
    <t>=RiskLognorm(5,10)</t>
  </si>
  <si>
    <t>RiskLognorm(5,10)</t>
  </si>
  <si>
    <t>5</t>
  </si>
  <si>
    <t>Step 1: Mixing raw materials</t>
  </si>
  <si>
    <t>Microbial concentration in RM1</t>
  </si>
  <si>
    <t>Percentage of RM1</t>
  </si>
  <si>
    <t>Microbial concentration in RM2</t>
  </si>
  <si>
    <t>Percentage of RM2</t>
  </si>
  <si>
    <t>Microbial concentration in RM3</t>
  </si>
  <si>
    <t>Percentage of RM3</t>
  </si>
  <si>
    <t>Total weight of the product</t>
  </si>
  <si>
    <t>Uniform(Min;Max)</t>
  </si>
  <si>
    <r>
      <t>LogNormal(µ</t>
    </r>
    <r>
      <rPr>
        <vertAlign val="subscript"/>
        <sz val="11"/>
        <color theme="1"/>
        <rFont val="Times New Roman"/>
        <family val="1"/>
      </rPr>
      <t>RM2</t>
    </r>
    <r>
      <rPr>
        <sz val="11"/>
        <color theme="1"/>
        <rFont val="Times New Roman"/>
        <family val="1"/>
      </rPr>
      <t>;sd</t>
    </r>
    <r>
      <rPr>
        <vertAlign val="subscript"/>
        <sz val="11"/>
        <color theme="1"/>
        <rFont val="Times New Roman"/>
        <family val="1"/>
      </rPr>
      <t>RM2</t>
    </r>
    <r>
      <rPr>
        <sz val="11"/>
        <color theme="1"/>
        <rFont val="Times New Roman"/>
        <family val="1"/>
      </rPr>
      <t xml:space="preserve">) </t>
    </r>
  </si>
  <si>
    <r>
      <t>Pert(5th</t>
    </r>
    <r>
      <rPr>
        <vertAlign val="subscript"/>
        <sz val="11"/>
        <color theme="1"/>
        <rFont val="Times New Roman"/>
        <family val="1"/>
      </rPr>
      <t>RM3</t>
    </r>
    <r>
      <rPr>
        <sz val="11"/>
        <color theme="1"/>
        <rFont val="Times New Roman"/>
        <family val="1"/>
      </rPr>
      <t>; m.likely</t>
    </r>
    <r>
      <rPr>
        <vertAlign val="subscript"/>
        <sz val="11"/>
        <color theme="1"/>
        <rFont val="Times New Roman"/>
        <family val="1"/>
      </rPr>
      <t>RM3</t>
    </r>
    <r>
      <rPr>
        <sz val="11"/>
        <color theme="1"/>
        <rFont val="Times New Roman"/>
        <family val="1"/>
      </rPr>
      <t>; 95th</t>
    </r>
    <r>
      <rPr>
        <vertAlign val="subscript"/>
        <sz val="11"/>
        <color theme="1"/>
        <rFont val="Times New Roman"/>
        <family val="1"/>
      </rPr>
      <t>RM3</t>
    </r>
    <r>
      <rPr>
        <sz val="11"/>
        <color theme="1"/>
        <rFont val="Times New Roman"/>
        <family val="1"/>
      </rPr>
      <t>)</t>
    </r>
  </si>
  <si>
    <t>[RM1]</t>
  </si>
  <si>
    <t>%RM1</t>
  </si>
  <si>
    <t>[RM2]</t>
  </si>
  <si>
    <t>%RM2</t>
  </si>
  <si>
    <t>[RM3]</t>
  </si>
  <si>
    <t>%RM3</t>
  </si>
  <si>
    <r>
      <t>W</t>
    </r>
    <r>
      <rPr>
        <vertAlign val="subscript"/>
        <sz val="12"/>
        <color theme="1"/>
        <rFont val="Times New Roman"/>
        <family val="1"/>
      </rPr>
      <t>pdt</t>
    </r>
  </si>
  <si>
    <t xml:space="preserve"> log cfu/g</t>
  </si>
  <si>
    <t>%</t>
  </si>
  <si>
    <t>Microbial load from RM1 in the product</t>
  </si>
  <si>
    <t>Microbial load from RM2 in the product</t>
  </si>
  <si>
    <t>Microbial load from RM3 in the product</t>
  </si>
  <si>
    <r>
      <t>N</t>
    </r>
    <r>
      <rPr>
        <vertAlign val="subscript"/>
        <sz val="11"/>
        <color theme="1"/>
        <rFont val="Times New Roman"/>
        <family val="1"/>
      </rPr>
      <t>RM1</t>
    </r>
    <r>
      <rPr>
        <sz val="11"/>
        <color theme="1"/>
        <rFont val="Times New Roman"/>
        <family val="1"/>
      </rPr>
      <t>= 10^[RM1]*%RM1*W</t>
    </r>
    <r>
      <rPr>
        <vertAlign val="subscript"/>
        <sz val="11"/>
        <color theme="1"/>
        <rFont val="Times New Roman"/>
        <family val="1"/>
      </rPr>
      <t>pdt</t>
    </r>
    <r>
      <rPr>
        <sz val="11"/>
        <color theme="1"/>
        <rFont val="Times New Roman"/>
        <family val="1"/>
      </rPr>
      <t>*10^3</t>
    </r>
  </si>
  <si>
    <r>
      <t>N</t>
    </r>
    <r>
      <rPr>
        <vertAlign val="subscript"/>
        <sz val="11"/>
        <color theme="1"/>
        <rFont val="Times New Roman"/>
        <family val="1"/>
      </rPr>
      <t>RM2</t>
    </r>
    <r>
      <rPr>
        <sz val="11"/>
        <color theme="1"/>
        <rFont val="Times New Roman"/>
        <family val="1"/>
      </rPr>
      <t>= 10^[RM2]*%RM2*W</t>
    </r>
    <r>
      <rPr>
        <vertAlign val="subscript"/>
        <sz val="11"/>
        <color theme="1"/>
        <rFont val="Times New Roman"/>
        <family val="1"/>
      </rPr>
      <t>pdt</t>
    </r>
    <r>
      <rPr>
        <sz val="11"/>
        <color theme="1"/>
        <rFont val="Times New Roman"/>
        <family val="1"/>
      </rPr>
      <t>*10^3</t>
    </r>
  </si>
  <si>
    <r>
      <t>N</t>
    </r>
    <r>
      <rPr>
        <vertAlign val="subscript"/>
        <sz val="11"/>
        <color theme="1"/>
        <rFont val="Times New Roman"/>
        <family val="1"/>
      </rPr>
      <t>RM3</t>
    </r>
    <r>
      <rPr>
        <sz val="11"/>
        <color theme="1"/>
        <rFont val="Times New Roman"/>
        <family val="1"/>
      </rPr>
      <t>= 10^[RM3]*%RM3*W</t>
    </r>
    <r>
      <rPr>
        <vertAlign val="subscript"/>
        <sz val="11"/>
        <color theme="1"/>
        <rFont val="Times New Roman"/>
        <family val="1"/>
      </rPr>
      <t>pdt</t>
    </r>
    <r>
      <rPr>
        <sz val="11"/>
        <color theme="1"/>
        <rFont val="Times New Roman"/>
        <family val="1"/>
      </rPr>
      <t>*10^3</t>
    </r>
  </si>
  <si>
    <t>cfu</t>
  </si>
  <si>
    <t>Total microbial load in the product after mixing</t>
  </si>
  <si>
    <t>Microbial concentratrion in the product after mixing</t>
  </si>
  <si>
    <t>Prevalence in the tank in the product after mixing</t>
  </si>
  <si>
    <r>
      <t>N</t>
    </r>
    <r>
      <rPr>
        <vertAlign val="subscript"/>
        <sz val="11"/>
        <color theme="1"/>
        <rFont val="Times New Roman"/>
        <family val="1"/>
      </rPr>
      <t>1</t>
    </r>
    <r>
      <rPr>
        <sz val="11"/>
        <color theme="1"/>
        <rFont val="Times New Roman"/>
        <family val="1"/>
      </rPr>
      <t xml:space="preserve"> = N</t>
    </r>
    <r>
      <rPr>
        <vertAlign val="subscript"/>
        <sz val="11"/>
        <color theme="1"/>
        <rFont val="Times New Roman"/>
        <family val="1"/>
      </rPr>
      <t>RM1</t>
    </r>
    <r>
      <rPr>
        <sz val="11"/>
        <color theme="1"/>
        <rFont val="Times New Roman"/>
        <family val="1"/>
      </rPr>
      <t xml:space="preserve"> + N</t>
    </r>
    <r>
      <rPr>
        <vertAlign val="subscript"/>
        <sz val="11"/>
        <color theme="1"/>
        <rFont val="Times New Roman"/>
        <family val="1"/>
      </rPr>
      <t>RM2</t>
    </r>
    <r>
      <rPr>
        <sz val="11"/>
        <color theme="1"/>
        <rFont val="Times New Roman"/>
        <family val="1"/>
      </rPr>
      <t xml:space="preserve"> + N</t>
    </r>
    <r>
      <rPr>
        <vertAlign val="subscript"/>
        <sz val="11"/>
        <color theme="1"/>
        <rFont val="Times New Roman"/>
        <family val="1"/>
      </rPr>
      <t xml:space="preserve">RM3 </t>
    </r>
  </si>
  <si>
    <r>
      <t>[N</t>
    </r>
    <r>
      <rPr>
        <vertAlign val="subscript"/>
        <sz val="11"/>
        <color theme="1"/>
        <rFont val="Times New Roman"/>
        <family val="1"/>
      </rPr>
      <t>1</t>
    </r>
    <r>
      <rPr>
        <sz val="11"/>
        <color theme="1"/>
        <rFont val="Times New Roman"/>
        <family val="1"/>
      </rPr>
      <t>] = N</t>
    </r>
    <r>
      <rPr>
        <vertAlign val="subscript"/>
        <sz val="11"/>
        <color theme="1"/>
        <rFont val="Times New Roman"/>
        <family val="1"/>
      </rPr>
      <t>1</t>
    </r>
    <r>
      <rPr>
        <sz val="11"/>
        <color theme="1"/>
        <rFont val="Times New Roman"/>
        <family val="1"/>
      </rPr>
      <t>/(W</t>
    </r>
    <r>
      <rPr>
        <vertAlign val="subscript"/>
        <sz val="11"/>
        <color theme="1"/>
        <rFont val="Times New Roman"/>
        <family val="1"/>
      </rPr>
      <t>pdt</t>
    </r>
    <r>
      <rPr>
        <sz val="11"/>
        <color theme="1"/>
        <rFont val="Times New Roman"/>
        <family val="1"/>
      </rPr>
      <t>*10^3)</t>
    </r>
  </si>
  <si>
    <r>
      <t>p</t>
    </r>
    <r>
      <rPr>
        <vertAlign val="subscript"/>
        <sz val="11"/>
        <color theme="1"/>
        <rFont val="Times New Roman"/>
        <family val="1"/>
      </rPr>
      <t>1</t>
    </r>
    <r>
      <rPr>
        <sz val="11"/>
        <color theme="1"/>
        <rFont val="Times New Roman"/>
        <family val="1"/>
      </rPr>
      <t>=1-risktarget(N</t>
    </r>
    <r>
      <rPr>
        <vertAlign val="subscript"/>
        <sz val="11"/>
        <color theme="1"/>
        <rFont val="Times New Roman"/>
        <family val="1"/>
      </rPr>
      <t>1</t>
    </r>
    <r>
      <rPr>
        <sz val="11"/>
        <color theme="1"/>
        <rFont val="Times New Roman"/>
        <family val="1"/>
      </rPr>
      <t>;0)</t>
    </r>
  </si>
  <si>
    <t xml:space="preserve">N1 </t>
  </si>
  <si>
    <t xml:space="preserve">[N1] </t>
  </si>
  <si>
    <t>p1</t>
  </si>
  <si>
    <t>pu</t>
  </si>
  <si>
    <t>Number of product unit</t>
  </si>
  <si>
    <r>
      <t>Nb</t>
    </r>
    <r>
      <rPr>
        <vertAlign val="subscript"/>
        <sz val="11"/>
        <color theme="1"/>
        <rFont val="Times New Roman"/>
        <family val="1"/>
      </rPr>
      <t>pu</t>
    </r>
    <r>
      <rPr>
        <sz val="11"/>
        <color theme="1"/>
        <rFont val="Times New Roman"/>
        <family val="1"/>
      </rPr>
      <t>=W</t>
    </r>
    <r>
      <rPr>
        <vertAlign val="subscript"/>
        <sz val="11"/>
        <color theme="1"/>
        <rFont val="Times New Roman"/>
        <family val="1"/>
      </rPr>
      <t>pdt</t>
    </r>
    <r>
      <rPr>
        <sz val="11"/>
        <color theme="1"/>
        <rFont val="Times New Roman"/>
        <family val="1"/>
      </rPr>
      <t>/W</t>
    </r>
    <r>
      <rPr>
        <vertAlign val="subscript"/>
        <sz val="11"/>
        <color theme="1"/>
        <rFont val="Times New Roman"/>
        <family val="1"/>
      </rPr>
      <t>pu</t>
    </r>
  </si>
  <si>
    <t>Microbial concentratrion in a product unit after partitionning</t>
  </si>
  <si>
    <r>
      <t>[N</t>
    </r>
    <r>
      <rPr>
        <vertAlign val="subscript"/>
        <sz val="11"/>
        <color theme="1"/>
        <rFont val="Times New Roman"/>
        <family val="1"/>
      </rPr>
      <t>2</t>
    </r>
    <r>
      <rPr>
        <sz val="11"/>
        <color theme="1"/>
        <rFont val="Times New Roman"/>
        <family val="1"/>
      </rPr>
      <t>]</t>
    </r>
    <r>
      <rPr>
        <vertAlign val="subscript"/>
        <sz val="11"/>
        <color theme="1"/>
        <rFont val="Times New Roman"/>
        <family val="1"/>
      </rPr>
      <t>pu</t>
    </r>
    <r>
      <rPr>
        <sz val="11"/>
        <color theme="1"/>
        <rFont val="Times New Roman"/>
        <family val="1"/>
      </rPr>
      <t>=Poisson(N</t>
    </r>
    <r>
      <rPr>
        <vertAlign val="subscript"/>
        <sz val="11"/>
        <color theme="1"/>
        <rFont val="Times New Roman"/>
        <family val="1"/>
      </rPr>
      <t>1</t>
    </r>
    <r>
      <rPr>
        <sz val="11"/>
        <color theme="1"/>
        <rFont val="Times New Roman"/>
        <family val="1"/>
      </rPr>
      <t>/Nb</t>
    </r>
    <r>
      <rPr>
        <vertAlign val="subscript"/>
        <sz val="11"/>
        <color theme="1"/>
        <rFont val="Times New Roman"/>
        <family val="1"/>
      </rPr>
      <t>pu</t>
    </r>
    <r>
      <rPr>
        <sz val="11"/>
        <color theme="1"/>
        <rFont val="Times New Roman"/>
        <family val="1"/>
      </rPr>
      <t>)</t>
    </r>
  </si>
  <si>
    <r>
      <t>[N</t>
    </r>
    <r>
      <rPr>
        <vertAlign val="subscript"/>
        <sz val="11"/>
        <color theme="1"/>
        <rFont val="Times New Roman"/>
        <family val="1"/>
      </rPr>
      <t>2</t>
    </r>
    <r>
      <rPr>
        <sz val="11"/>
        <color theme="1"/>
        <rFont val="Times New Roman"/>
        <family val="1"/>
      </rPr>
      <t>]=[N</t>
    </r>
    <r>
      <rPr>
        <vertAlign val="subscript"/>
        <sz val="11"/>
        <color theme="1"/>
        <rFont val="Times New Roman"/>
        <family val="1"/>
      </rPr>
      <t>2</t>
    </r>
    <r>
      <rPr>
        <sz val="11"/>
        <color theme="1"/>
        <rFont val="Times New Roman"/>
        <family val="1"/>
      </rPr>
      <t>]</t>
    </r>
    <r>
      <rPr>
        <vertAlign val="subscript"/>
        <sz val="11"/>
        <color theme="1"/>
        <rFont val="Times New Roman"/>
        <family val="1"/>
      </rPr>
      <t>pu</t>
    </r>
    <r>
      <rPr>
        <sz val="11"/>
        <color theme="1"/>
        <rFont val="Times New Roman"/>
        <family val="1"/>
      </rPr>
      <t>/W</t>
    </r>
    <r>
      <rPr>
        <vertAlign val="subscript"/>
        <sz val="11"/>
        <color theme="1"/>
        <rFont val="Times New Roman"/>
        <family val="1"/>
      </rPr>
      <t>pu</t>
    </r>
  </si>
  <si>
    <r>
      <t>p</t>
    </r>
    <r>
      <rPr>
        <vertAlign val="subscript"/>
        <sz val="11"/>
        <color theme="1"/>
        <rFont val="Times New Roman"/>
        <family val="1"/>
      </rPr>
      <t>2</t>
    </r>
    <r>
      <rPr>
        <sz val="11"/>
        <color theme="1"/>
        <rFont val="Times New Roman"/>
        <family val="1"/>
      </rPr>
      <t>=1-risktarget([N</t>
    </r>
    <r>
      <rPr>
        <vertAlign val="subscript"/>
        <sz val="11"/>
        <color theme="1"/>
        <rFont val="Times New Roman"/>
        <family val="1"/>
      </rPr>
      <t>2</t>
    </r>
    <r>
      <rPr>
        <sz val="11"/>
        <color theme="1"/>
        <rFont val="Times New Roman"/>
        <family val="1"/>
      </rPr>
      <t>]</t>
    </r>
    <r>
      <rPr>
        <vertAlign val="subscript"/>
        <sz val="11"/>
        <color theme="1"/>
        <rFont val="Times New Roman"/>
        <family val="1"/>
      </rPr>
      <t>pu</t>
    </r>
    <r>
      <rPr>
        <sz val="11"/>
        <color theme="1"/>
        <rFont val="Times New Roman"/>
        <family val="1"/>
      </rPr>
      <t>;0)</t>
    </r>
  </si>
  <si>
    <t>[N2]pu</t>
  </si>
  <si>
    <t>[N2]</t>
  </si>
  <si>
    <t>p2</t>
  </si>
  <si>
    <t>F26;F28;F30;F44;F48;F52;F53;F56;F61</t>
  </si>
  <si>
    <t>[RM1] / Value</t>
  </si>
  <si>
    <t>=RiskUniform(0,5)</t>
  </si>
  <si>
    <t>RiskUniform(0,5)</t>
  </si>
  <si>
    <t>2,5</t>
  </si>
  <si>
    <t>[RM2] / Value</t>
  </si>
  <si>
    <t>=RiskLognorm(1,1)</t>
  </si>
  <si>
    <t>RiskLognorm(1,1)</t>
  </si>
  <si>
    <t>1</t>
  </si>
  <si>
    <t>[RM3] / Value</t>
  </si>
  <si>
    <t>=RiskPertAlt(5%,4,"m. likely",5,95%,6)</t>
  </si>
  <si>
    <t>RiskPertAlt(5%,4,"m. likely",5,95%,6)</t>
  </si>
  <si>
    <t>4,99999999999989</t>
  </si>
  <si>
    <t>F26</t>
  </si>
  <si>
    <t>F28</t>
  </si>
  <si>
    <t>F30</t>
  </si>
  <si>
    <t>F44</t>
  </si>
  <si>
    <t>F48</t>
  </si>
  <si>
    <t>F52</t>
  </si>
  <si>
    <t>Step 2: Partitioning</t>
  </si>
  <si>
    <t>Step 3: Heat treatment</t>
  </si>
  <si>
    <t>Step 4: Growth</t>
  </si>
  <si>
    <r>
      <rPr>
        <b/>
        <u/>
        <sz val="11"/>
        <color theme="1"/>
        <rFont val="Times New Roman"/>
        <family val="1"/>
      </rPr>
      <t>Case study:</t>
    </r>
    <r>
      <rPr>
        <b/>
        <sz val="11"/>
        <color theme="1"/>
        <rFont val="Times New Roman"/>
        <family val="1"/>
      </rPr>
      <t xml:space="preserve"> </t>
    </r>
    <r>
      <rPr>
        <sz val="11"/>
        <color theme="1"/>
        <rFont val="Times New Roman"/>
        <family val="1"/>
      </rPr>
      <t>This exercise is based on the model developed in Exercises 6 and 7 on puree so it integrates now partitioning, thermal inactivation and growth as well as a first step of mixing of raw materials which has been added. The model Excel sheet is updated in this exercise. The aim of this exercise is to conduct a sensitivity and scenario analysis on this model.</t>
    </r>
  </si>
  <si>
    <r>
      <t xml:space="preserve">2- Run an advanced sensitivity analysis. </t>
    </r>
    <r>
      <rPr>
        <i/>
        <sz val="11"/>
        <color theme="1"/>
        <rFont val="Calibri"/>
        <family val="2"/>
        <scheme val="minor"/>
      </rPr>
      <t>Go in @Risk in the tab advances analysis and select advances sensitivity analysis. The cell to monitor is the microbial concentration in a product unit after storage in log. Add as inputs all of the identified in question 1 with the percentiles of distribution as method of variation. This method will select for each input its 1st, 5th, 25th, 50th, 75th, 95th, 95th and 99th value and calculate the output for each one of these values. In option select “Percentile(0.95)” as Tracking statistic. Then, click on analyse to launch the sensitivity analysis. Collect the summary of simulations, the percentile graph and the tornado graph.</t>
    </r>
  </si>
  <si>
    <t>Equation</t>
  </si>
  <si>
    <t>unit</t>
  </si>
  <si>
    <t>Unit</t>
  </si>
  <si>
    <t>E6.8 - Sensitivity and scenarios analysis</t>
  </si>
  <si>
    <t>Solutions: E6.8 - Sensitivity and scenarios analysis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</si>
</sst>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
    <numFmt numFmtId="167" formatCode="0.0%"/>
  </numFmts>
  <fonts count="38" x14ac:knownFonts="1">
    <font>
      <sz val="11"/>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mbria"/>
      <family val="2"/>
    </font>
    <font>
      <sz val="11"/>
      <color theme="1"/>
      <name val="Calibri"/>
      <family val="2"/>
      <scheme val="minor"/>
    </font>
    <font>
      <sz val="11"/>
      <name val="Times New Roman"/>
      <family val="1"/>
    </font>
    <font>
      <sz val="14"/>
      <color theme="1"/>
      <name val="Times New Roman"/>
      <family val="2"/>
    </font>
    <font>
      <sz val="11"/>
      <color theme="1"/>
      <name val="Times New Roman"/>
      <family val="1"/>
    </font>
    <font>
      <b/>
      <u/>
      <sz val="14"/>
      <color theme="1"/>
      <name val="Times New Roman"/>
      <family val="1"/>
    </font>
    <font>
      <b/>
      <sz val="11"/>
      <color theme="1"/>
      <name val="Calibri"/>
      <family val="2"/>
      <scheme val="minor"/>
    </font>
    <font>
      <b/>
      <sz val="11"/>
      <color theme="1"/>
      <name val="Times New Roman"/>
      <family val="1"/>
    </font>
    <font>
      <b/>
      <u/>
      <sz val="11"/>
      <color theme="1"/>
      <name val="Times New Roman"/>
      <family val="1"/>
    </font>
    <font>
      <sz val="12"/>
      <color theme="1"/>
      <name val="Times New Roman"/>
      <family val="2"/>
    </font>
    <font>
      <b/>
      <sz val="12"/>
      <name val="Times New Roman"/>
      <family val="1"/>
    </font>
    <font>
      <b/>
      <sz val="10"/>
      <name val="Times New Roman"/>
      <family val="1"/>
    </font>
    <font>
      <sz val="10"/>
      <name val="Times New Roman"/>
      <family val="1"/>
    </font>
    <font>
      <vertAlign val="subscript"/>
      <sz val="10"/>
      <name val="Times New Roman"/>
      <family val="1"/>
    </font>
    <font>
      <b/>
      <sz val="14"/>
      <color theme="0"/>
      <name val="Times New Roman"/>
      <family val="1"/>
    </font>
    <font>
      <vertAlign val="subscript"/>
      <sz val="12"/>
      <color theme="1"/>
      <name val="Times New Roman"/>
      <family val="1"/>
    </font>
    <font>
      <sz val="12"/>
      <color theme="1"/>
      <name val="Times New Roman"/>
      <family val="1"/>
    </font>
    <font>
      <sz val="10"/>
      <color theme="3"/>
      <name val="Times New Roman"/>
      <family val="1"/>
    </font>
    <font>
      <vertAlign val="subscript"/>
      <sz val="11"/>
      <name val="Times New Roman"/>
      <family val="1"/>
    </font>
    <font>
      <vertAlign val="superscript"/>
      <sz val="11"/>
      <name val="Times New Roman"/>
      <family val="1"/>
    </font>
    <font>
      <i/>
      <sz val="11"/>
      <color theme="1"/>
      <name val="Calibri"/>
      <family val="2"/>
      <scheme val="minor"/>
    </font>
    <font>
      <b/>
      <sz val="12"/>
      <color theme="1"/>
      <name val="Times New Roman"/>
      <family val="1"/>
    </font>
    <font>
      <b/>
      <sz val="11"/>
      <color theme="1"/>
      <name val="Calibri"/>
      <family val="2"/>
    </font>
    <font>
      <b/>
      <sz val="11"/>
      <color rgb="FF000000"/>
      <name val="Times New Roman"/>
      <family val="1"/>
    </font>
    <font>
      <sz val="11"/>
      <color rgb="FF000000"/>
      <name val="Times New Roman"/>
      <family val="1"/>
    </font>
    <font>
      <b/>
      <sz val="8"/>
      <color theme="1"/>
      <name val="Calibri"/>
      <family val="2"/>
      <scheme val="minor"/>
    </font>
    <font>
      <sz val="8"/>
      <color theme="1"/>
      <name val="Calibri"/>
      <family val="2"/>
      <scheme val="minor"/>
    </font>
    <font>
      <b/>
      <u/>
      <sz val="12"/>
      <color theme="1"/>
      <name val="Times New Roman"/>
      <family val="1"/>
    </font>
    <font>
      <sz val="12"/>
      <name val="Times New Roman"/>
      <family val="2"/>
    </font>
    <font>
      <b/>
      <sz val="10"/>
      <name val="Calibri"/>
      <family val="2"/>
      <scheme val="minor"/>
    </font>
    <font>
      <b/>
      <sz val="11"/>
      <name val="Times New Roman"/>
      <family val="1"/>
    </font>
    <font>
      <b/>
      <sz val="14"/>
      <color theme="0"/>
      <name val="Times New Roman"/>
      <family val="2"/>
    </font>
    <font>
      <sz val="14"/>
      <color theme="0"/>
      <name val="Times New Roman"/>
      <family val="2"/>
    </font>
    <font>
      <vertAlign val="subscript"/>
      <sz val="11"/>
      <color theme="1"/>
      <name val="Times New Roman"/>
      <family val="1"/>
    </font>
  </fonts>
  <fills count="8">
    <fill>
      <patternFill patternType="none"/>
    </fill>
    <fill>
      <patternFill patternType="gray125"/>
    </fill>
    <fill>
      <patternFill patternType="solid">
        <fgColor theme="0"/>
        <bgColor indexed="64"/>
      </patternFill>
    </fill>
    <fill>
      <patternFill patternType="solid">
        <fgColor rgb="FF97FFCB"/>
        <bgColor indexed="64"/>
      </patternFill>
    </fill>
    <fill>
      <patternFill patternType="solid">
        <fgColor theme="3"/>
        <bgColor indexed="64"/>
      </patternFill>
    </fill>
    <fill>
      <patternFill patternType="solid">
        <fgColor rgb="FFCCFFCC"/>
        <bgColor indexed="64"/>
      </patternFill>
    </fill>
    <fill>
      <patternFill patternType="solid">
        <fgColor theme="4" tint="0.79998168889431442"/>
        <bgColor indexed="64"/>
      </patternFill>
    </fill>
    <fill>
      <patternFill patternType="solid">
        <fgColor theme="7" tint="0.79998168889431442"/>
        <bgColor indexed="64"/>
      </patternFill>
    </fill>
  </fills>
  <borders count="38">
    <border>
      <left/>
      <right/>
      <top/>
      <bottom/>
      <diagonal/>
    </border>
    <border>
      <left style="thick">
        <color rgb="FF00B050"/>
      </left>
      <right style="thick">
        <color rgb="FF00B050"/>
      </right>
      <top style="thick">
        <color rgb="FF00B050"/>
      </top>
      <bottom style="thick">
        <color rgb="FF00B05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thick">
        <color rgb="FF00B050"/>
      </left>
      <right style="thin">
        <color indexed="64"/>
      </right>
      <top/>
      <bottom/>
      <diagonal/>
    </border>
    <border>
      <left style="double">
        <color theme="1"/>
      </left>
      <right/>
      <top style="medium">
        <color rgb="FF000000"/>
      </top>
      <bottom/>
      <diagonal/>
    </border>
    <border>
      <left style="double">
        <color theme="1"/>
      </left>
      <right/>
      <top/>
      <bottom/>
      <diagonal/>
    </border>
    <border>
      <left style="medium">
        <color indexed="64"/>
      </left>
      <right/>
      <top style="medium">
        <color indexed="64"/>
      </top>
      <bottom/>
      <diagonal/>
    </border>
    <border>
      <left/>
      <right/>
      <top style="medium">
        <color indexed="64"/>
      </top>
      <bottom/>
      <diagonal/>
    </border>
    <border>
      <left style="double">
        <color theme="1"/>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double">
        <color theme="1"/>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8">
    <xf numFmtId="0" fontId="0" fillId="0" borderId="0"/>
    <xf numFmtId="0" fontId="5" fillId="0" borderId="0"/>
    <xf numFmtId="0" fontId="4" fillId="0" borderId="0"/>
    <xf numFmtId="0" fontId="3" fillId="0" borderId="0"/>
    <xf numFmtId="0" fontId="2" fillId="0" borderId="0"/>
    <xf numFmtId="0" fontId="1" fillId="0" borderId="0"/>
    <xf numFmtId="0" fontId="4" fillId="0" borderId="0"/>
    <xf numFmtId="9" fontId="4" fillId="0" borderId="0" applyFont="0" applyFill="0" applyBorder="0" applyAlignment="0" applyProtection="0"/>
  </cellStyleXfs>
  <cellXfs count="261">
    <xf numFmtId="0" fontId="0" fillId="0" borderId="0" xfId="0"/>
    <xf numFmtId="0" fontId="7" fillId="0" borderId="0" xfId="0" applyFont="1" applyFill="1"/>
    <xf numFmtId="0" fontId="7" fillId="0" borderId="0" xfId="0" applyFont="1"/>
    <xf numFmtId="0" fontId="7" fillId="0" borderId="0" xfId="0" applyFont="1" applyAlignment="1">
      <alignment horizontal="center"/>
    </xf>
    <xf numFmtId="0" fontId="9" fillId="0" borderId="0" xfId="0" applyFont="1"/>
    <xf numFmtId="0" fontId="11" fillId="0" borderId="0" xfId="0" applyFont="1" applyAlignment="1">
      <alignment horizontal="left" vertical="center" indent="6"/>
    </xf>
    <xf numFmtId="0" fontId="10" fillId="2" borderId="0" xfId="0" applyFont="1" applyFill="1" applyAlignment="1">
      <alignment horizontal="left" wrapText="1"/>
    </xf>
    <xf numFmtId="0" fontId="13" fillId="0" borderId="0" xfId="0" applyFont="1"/>
    <xf numFmtId="0" fontId="15" fillId="0" borderId="7" xfId="0" applyFont="1" applyBorder="1" applyAlignment="1">
      <alignment horizontal="center" vertical="center"/>
    </xf>
    <xf numFmtId="0" fontId="15" fillId="0" borderId="0" xfId="0" applyFont="1" applyBorder="1" applyAlignment="1">
      <alignment horizontal="center" vertical="center"/>
    </xf>
    <xf numFmtId="0" fontId="15" fillId="0" borderId="9" xfId="0" applyFont="1" applyBorder="1" applyAlignment="1">
      <alignment horizontal="center" vertical="center"/>
    </xf>
    <xf numFmtId="0" fontId="16" fillId="0" borderId="7" xfId="0" applyFont="1" applyBorder="1" applyAlignment="1">
      <alignment vertical="center"/>
    </xf>
    <xf numFmtId="0" fontId="16" fillId="0" borderId="0" xfId="0" applyFont="1" applyBorder="1" applyAlignment="1">
      <alignment horizontal="center" vertical="center"/>
    </xf>
    <xf numFmtId="0" fontId="16" fillId="2" borderId="0" xfId="0" applyFont="1" applyFill="1" applyBorder="1" applyAlignment="1">
      <alignment horizontal="center" vertical="center"/>
    </xf>
    <xf numFmtId="0" fontId="16" fillId="2" borderId="0" xfId="0" applyFont="1" applyFill="1" applyBorder="1" applyAlignment="1">
      <alignment horizontal="right" vertical="center"/>
    </xf>
    <xf numFmtId="0" fontId="16" fillId="0" borderId="0" xfId="0" applyFont="1" applyFill="1" applyBorder="1" applyAlignment="1">
      <alignment vertical="center"/>
    </xf>
    <xf numFmtId="0" fontId="16" fillId="0" borderId="7" xfId="0" applyFont="1" applyBorder="1" applyAlignment="1">
      <alignment vertical="center" wrapText="1"/>
    </xf>
    <xf numFmtId="0" fontId="16" fillId="2" borderId="0" xfId="0" applyFont="1" applyFill="1" applyBorder="1" applyAlignment="1">
      <alignment vertical="center"/>
    </xf>
    <xf numFmtId="0" fontId="16" fillId="0" borderId="0" xfId="0" applyFont="1" applyBorder="1" applyAlignment="1">
      <alignment vertical="center"/>
    </xf>
    <xf numFmtId="0" fontId="16" fillId="0" borderId="7" xfId="0" applyFont="1" applyBorder="1" applyAlignment="1">
      <alignment horizontal="left" vertical="center"/>
    </xf>
    <xf numFmtId="0" fontId="16" fillId="0" borderId="9" xfId="0" applyFont="1" applyFill="1" applyBorder="1" applyAlignment="1">
      <alignment horizontal="center" vertical="center"/>
    </xf>
    <xf numFmtId="0" fontId="16" fillId="0" borderId="7" xfId="0" applyFont="1" applyFill="1" applyBorder="1" applyAlignment="1">
      <alignment vertical="center" wrapText="1"/>
    </xf>
    <xf numFmtId="0" fontId="16" fillId="0" borderId="9" xfId="0" applyFont="1" applyFill="1" applyBorder="1" applyAlignment="1">
      <alignment vertical="center"/>
    </xf>
    <xf numFmtId="0" fontId="16" fillId="0" borderId="0" xfId="0" applyFont="1" applyFill="1" applyBorder="1" applyAlignment="1">
      <alignment horizontal="center" vertical="center"/>
    </xf>
    <xf numFmtId="1" fontId="16" fillId="0" borderId="0" xfId="0" applyNumberFormat="1" applyFont="1" applyFill="1" applyBorder="1" applyAlignment="1">
      <alignment horizontal="right" vertical="center"/>
    </xf>
    <xf numFmtId="0" fontId="16" fillId="0" borderId="7" xfId="0" applyFont="1" applyBorder="1" applyAlignment="1">
      <alignment horizontal="left"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right" vertical="center"/>
    </xf>
    <xf numFmtId="0" fontId="16" fillId="0" borderId="0" xfId="0" applyFont="1" applyBorder="1" applyAlignment="1">
      <alignment horizontal="right" vertical="center"/>
    </xf>
    <xf numFmtId="164" fontId="16" fillId="0" borderId="0" xfId="0" applyNumberFormat="1" applyFont="1" applyBorder="1" applyAlignment="1">
      <alignment vertical="center"/>
    </xf>
    <xf numFmtId="0" fontId="16" fillId="0" borderId="8" xfId="0" applyFont="1" applyFill="1" applyBorder="1" applyAlignment="1">
      <alignment vertical="center"/>
    </xf>
    <xf numFmtId="0" fontId="16" fillId="0" borderId="2" xfId="0" applyFont="1" applyBorder="1" applyAlignment="1">
      <alignment horizontal="center" vertical="center"/>
    </xf>
    <xf numFmtId="0" fontId="16" fillId="0" borderId="2" xfId="0" applyFont="1" applyFill="1" applyBorder="1" applyAlignment="1">
      <alignment horizontal="center" vertical="center"/>
    </xf>
    <xf numFmtId="0" fontId="16" fillId="0" borderId="2" xfId="0" applyFont="1" applyFill="1" applyBorder="1" applyAlignment="1">
      <alignment vertical="center"/>
    </xf>
    <xf numFmtId="0" fontId="16" fillId="0" borderId="11" xfId="0" applyFont="1" applyFill="1" applyBorder="1" applyAlignment="1">
      <alignment vertical="center"/>
    </xf>
    <xf numFmtId="0" fontId="16" fillId="0" borderId="12" xfId="0" applyFont="1" applyFill="1" applyBorder="1" applyAlignment="1">
      <alignment vertical="center"/>
    </xf>
    <xf numFmtId="0" fontId="13" fillId="0" borderId="9" xfId="0" applyFont="1" applyBorder="1"/>
    <xf numFmtId="165" fontId="16" fillId="0" borderId="0" xfId="0" applyNumberFormat="1" applyFont="1" applyBorder="1" applyAlignment="1">
      <alignment horizontal="center" vertical="center"/>
    </xf>
    <xf numFmtId="0" fontId="13" fillId="0" borderId="0" xfId="0" applyFont="1" applyBorder="1"/>
    <xf numFmtId="0" fontId="16" fillId="0" borderId="6" xfId="0" applyFont="1" applyFill="1" applyBorder="1" applyAlignment="1">
      <alignment vertical="center"/>
    </xf>
    <xf numFmtId="0" fontId="16" fillId="0" borderId="8" xfId="0" applyFont="1" applyFill="1" applyBorder="1" applyAlignment="1">
      <alignment horizontal="center" vertical="center"/>
    </xf>
    <xf numFmtId="0" fontId="16" fillId="0" borderId="10" xfId="0" applyFont="1" applyFill="1" applyBorder="1" applyAlignment="1">
      <alignment vertical="center"/>
    </xf>
    <xf numFmtId="0" fontId="16" fillId="0" borderId="7" xfId="0" applyFont="1" applyFill="1" applyBorder="1" applyAlignment="1">
      <alignment vertical="center"/>
    </xf>
    <xf numFmtId="0" fontId="16" fillId="0" borderId="0" xfId="0" applyFont="1" applyFill="1" applyBorder="1" applyAlignment="1">
      <alignment vertical="center" wrapText="1"/>
    </xf>
    <xf numFmtId="0" fontId="16" fillId="5" borderId="0"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1" fillId="0" borderId="0" xfId="0" applyFont="1" applyAlignment="1">
      <alignment horizontal="left" vertical="center"/>
    </xf>
    <xf numFmtId="0" fontId="6" fillId="0" borderId="7" xfId="0" applyFont="1" applyFill="1" applyBorder="1" applyAlignment="1">
      <alignment vertical="center" wrapText="1"/>
    </xf>
    <xf numFmtId="0" fontId="6" fillId="0" borderId="0" xfId="0" applyFont="1" applyBorder="1" applyAlignment="1">
      <alignment horizontal="center" vertical="center"/>
    </xf>
    <xf numFmtId="0" fontId="6" fillId="0" borderId="9" xfId="0" applyFont="1" applyBorder="1" applyAlignment="1">
      <alignment vertical="center"/>
    </xf>
    <xf numFmtId="0" fontId="6" fillId="0" borderId="0" xfId="0" applyFont="1" applyFill="1" applyBorder="1" applyAlignment="1">
      <alignment horizontal="center" vertical="center"/>
    </xf>
    <xf numFmtId="0" fontId="6" fillId="0" borderId="9" xfId="0" applyFont="1" applyFill="1" applyBorder="1" applyAlignment="1">
      <alignment vertical="center"/>
    </xf>
    <xf numFmtId="0" fontId="16" fillId="0" borderId="7" xfId="0" applyFont="1" applyFill="1" applyBorder="1" applyAlignment="1">
      <alignment horizontal="left" vertical="center" wrapText="1"/>
    </xf>
    <xf numFmtId="165" fontId="6" fillId="0" borderId="0" xfId="0" applyNumberFormat="1" applyFont="1" applyFill="1" applyBorder="1" applyAlignment="1">
      <alignment horizontal="center" vertical="center"/>
    </xf>
    <xf numFmtId="0" fontId="6" fillId="0" borderId="7" xfId="0" applyFont="1" applyBorder="1" applyAlignment="1">
      <alignment vertical="center" wrapText="1"/>
    </xf>
    <xf numFmtId="165" fontId="6" fillId="0" borderId="0" xfId="0" applyNumberFormat="1" applyFont="1" applyBorder="1" applyAlignment="1">
      <alignment vertical="center"/>
    </xf>
    <xf numFmtId="165" fontId="6" fillId="0" borderId="0" xfId="0" applyNumberFormat="1" applyFont="1" applyFill="1" applyBorder="1" applyAlignment="1">
      <alignment horizontal="right" vertical="center"/>
    </xf>
    <xf numFmtId="0" fontId="6" fillId="0" borderId="0" xfId="0" applyFont="1" applyFill="1" applyBorder="1" applyAlignment="1">
      <alignment vertical="center"/>
    </xf>
    <xf numFmtId="165" fontId="6" fillId="0" borderId="0" xfId="0" applyNumberFormat="1" applyFont="1" applyFill="1" applyBorder="1" applyAlignment="1">
      <alignment vertical="center"/>
    </xf>
    <xf numFmtId="0" fontId="6" fillId="0" borderId="11" xfId="0" applyFont="1" applyFill="1" applyBorder="1" applyAlignment="1">
      <alignment vertical="center" wrapText="1"/>
    </xf>
    <xf numFmtId="0" fontId="6" fillId="0" borderId="2" xfId="0" applyFont="1" applyFill="1" applyBorder="1" applyAlignment="1">
      <alignment horizontal="center" vertical="center"/>
    </xf>
    <xf numFmtId="0" fontId="6" fillId="0" borderId="12" xfId="0" applyFont="1" applyBorder="1" applyAlignment="1">
      <alignment vertical="center"/>
    </xf>
    <xf numFmtId="0" fontId="16" fillId="0" borderId="11" xfId="0" applyFont="1" applyBorder="1" applyAlignment="1">
      <alignment vertical="center" wrapText="1"/>
    </xf>
    <xf numFmtId="1" fontId="0" fillId="0" borderId="0" xfId="0" applyNumberFormat="1"/>
    <xf numFmtId="165" fontId="16" fillId="0" borderId="0"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166" fontId="6" fillId="0" borderId="0" xfId="0" applyNumberFormat="1" applyFont="1" applyFill="1" applyBorder="1" applyAlignment="1">
      <alignment horizontal="center" vertical="center"/>
    </xf>
    <xf numFmtId="1"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9" fontId="7" fillId="0" borderId="0" xfId="0" applyNumberFormat="1" applyFont="1"/>
    <xf numFmtId="0" fontId="7" fillId="0" borderId="0" xfId="0" applyFont="1" applyAlignment="1"/>
    <xf numFmtId="0" fontId="11" fillId="0" borderId="0" xfId="0" applyFont="1" applyBorder="1" applyAlignment="1">
      <alignment horizontal="center" vertical="center" wrapText="1"/>
    </xf>
    <xf numFmtId="0" fontId="27" fillId="0" borderId="0" xfId="0" applyFont="1" applyBorder="1" applyAlignment="1">
      <alignment horizontal="center" vertical="center" wrapText="1"/>
    </xf>
    <xf numFmtId="9" fontId="28" fillId="0" borderId="0" xfId="0" applyNumberFormat="1" applyFont="1" applyBorder="1" applyAlignment="1">
      <alignment horizontal="center" vertical="center" wrapText="1"/>
    </xf>
    <xf numFmtId="9" fontId="8" fillId="0" borderId="0" xfId="0" applyNumberFormat="1" applyFont="1" applyBorder="1" applyAlignment="1">
      <alignment horizontal="center" vertical="center" wrapText="1"/>
    </xf>
    <xf numFmtId="0" fontId="7" fillId="0" borderId="2" xfId="0" applyFont="1" applyBorder="1" applyAlignment="1">
      <alignment horizontal="center"/>
    </xf>
    <xf numFmtId="0" fontId="6" fillId="0" borderId="0" xfId="0" applyFont="1" applyFill="1" applyBorder="1" applyAlignment="1">
      <alignment vertical="center" wrapText="1"/>
    </xf>
    <xf numFmtId="0" fontId="6" fillId="0" borderId="0" xfId="0" applyFont="1" applyBorder="1" applyAlignment="1">
      <alignment vertical="center"/>
    </xf>
    <xf numFmtId="0" fontId="15" fillId="0" borderId="0" xfId="0" applyFont="1" applyBorder="1" applyAlignment="1">
      <alignment horizontal="center" vertical="center" wrapText="1"/>
    </xf>
    <xf numFmtId="0" fontId="21" fillId="0" borderId="0" xfId="0" applyFont="1" applyFill="1" applyBorder="1" applyAlignment="1">
      <alignment horizontal="center" vertical="center" wrapText="1"/>
    </xf>
    <xf numFmtId="166" fontId="21" fillId="0" borderId="0" xfId="0" applyNumberFormat="1" applyFont="1" applyFill="1" applyBorder="1" applyAlignment="1">
      <alignment horizontal="center" vertical="center" wrapText="1"/>
    </xf>
    <xf numFmtId="0" fontId="7" fillId="0" borderId="9" xfId="0" applyFont="1" applyBorder="1" applyAlignment="1">
      <alignment horizontal="center"/>
    </xf>
    <xf numFmtId="0" fontId="11" fillId="0" borderId="0" xfId="0" applyFont="1" applyAlignment="1">
      <alignment vertical="center" wrapText="1"/>
    </xf>
    <xf numFmtId="0" fontId="25" fillId="0" borderId="18" xfId="0" applyFont="1" applyBorder="1" applyAlignment="1">
      <alignment vertical="center" wrapText="1"/>
    </xf>
    <xf numFmtId="166" fontId="16" fillId="5" borderId="0" xfId="0" applyNumberFormat="1" applyFont="1" applyFill="1" applyBorder="1" applyAlignment="1">
      <alignment horizontal="center" vertical="center" wrapText="1"/>
    </xf>
    <xf numFmtId="165" fontId="16" fillId="5" borderId="0" xfId="0" applyNumberFormat="1" applyFont="1" applyFill="1" applyBorder="1" applyAlignment="1">
      <alignment horizontal="center" vertical="center" wrapText="1"/>
    </xf>
    <xf numFmtId="1" fontId="16" fillId="5" borderId="0" xfId="0" applyNumberFormat="1" applyFont="1" applyFill="1" applyBorder="1" applyAlignment="1">
      <alignment horizontal="center" vertical="center" wrapText="1"/>
    </xf>
    <xf numFmtId="0" fontId="32" fillId="0" borderId="0" xfId="0" applyFont="1" applyBorder="1"/>
    <xf numFmtId="0" fontId="33" fillId="0" borderId="0" xfId="0" applyFont="1" applyFill="1" applyBorder="1" applyAlignment="1">
      <alignment horizontal="center" vertical="center"/>
    </xf>
    <xf numFmtId="0" fontId="32" fillId="0" borderId="7" xfId="0" applyFont="1" applyBorder="1"/>
    <xf numFmtId="0" fontId="32" fillId="0" borderId="9" xfId="0" applyFont="1" applyBorder="1"/>
    <xf numFmtId="0" fontId="32" fillId="0" borderId="11" xfId="0" applyFont="1" applyBorder="1"/>
    <xf numFmtId="0" fontId="32" fillId="0" borderId="2" xfId="0" applyFont="1" applyBorder="1"/>
    <xf numFmtId="0" fontId="32" fillId="0" borderId="0" xfId="0" applyFont="1" applyBorder="1" applyAlignment="1">
      <alignment horizontal="left" vertical="center"/>
    </xf>
    <xf numFmtId="0" fontId="32" fillId="0" borderId="12" xfId="0" applyFont="1" applyBorder="1"/>
    <xf numFmtId="165" fontId="34" fillId="3" borderId="1" xfId="0" applyNumberFormat="1" applyFont="1" applyFill="1" applyBorder="1" applyAlignment="1">
      <alignment horizontal="center" vertical="center"/>
    </xf>
    <xf numFmtId="1" fontId="16" fillId="5" borderId="19" xfId="0" applyNumberFormat="1" applyFont="1" applyFill="1" applyBorder="1" applyAlignment="1">
      <alignment horizontal="center" vertical="center" wrapText="1"/>
    </xf>
    <xf numFmtId="166" fontId="16" fillId="5" borderId="2" xfId="0" applyNumberFormat="1" applyFont="1" applyFill="1" applyBorder="1" applyAlignment="1">
      <alignment horizontal="center" vertical="center" wrapText="1"/>
    </xf>
    <xf numFmtId="1" fontId="16" fillId="0" borderId="0" xfId="0" applyNumberFormat="1" applyFont="1" applyFill="1" applyBorder="1" applyAlignment="1">
      <alignment horizontal="center" vertical="center" wrapText="1"/>
    </xf>
    <xf numFmtId="165" fontId="16" fillId="0" borderId="0"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166" fontId="16" fillId="0" borderId="2" xfId="0" applyNumberFormat="1" applyFont="1" applyFill="1" applyBorder="1" applyAlignment="1">
      <alignment horizontal="center" vertical="center" wrapText="1"/>
    </xf>
    <xf numFmtId="166" fontId="16" fillId="0" borderId="0" xfId="0" applyNumberFormat="1" applyFont="1" applyFill="1" applyBorder="1" applyAlignment="1">
      <alignment horizontal="center" vertical="center" wrapText="1"/>
    </xf>
    <xf numFmtId="1" fontId="16" fillId="0" borderId="9" xfId="0" applyNumberFormat="1" applyFont="1" applyFill="1" applyBorder="1" applyAlignment="1">
      <alignment horizontal="center" vertical="center" wrapText="1"/>
    </xf>
    <xf numFmtId="165" fontId="30" fillId="6" borderId="0" xfId="0" applyNumberFormat="1" applyFont="1" applyFill="1" applyBorder="1" applyAlignment="1">
      <alignment horizontal="center" vertical="center"/>
    </xf>
    <xf numFmtId="0" fontId="29" fillId="7" borderId="14" xfId="0" applyNumberFormat="1" applyFont="1" applyFill="1" applyBorder="1" applyAlignment="1">
      <alignment horizontal="center" vertical="center"/>
    </xf>
    <xf numFmtId="0" fontId="29" fillId="7" borderId="15" xfId="0" applyNumberFormat="1" applyFont="1" applyFill="1" applyBorder="1" applyAlignment="1">
      <alignment horizontal="center" vertical="center"/>
    </xf>
    <xf numFmtId="165" fontId="30" fillId="6" borderId="21" xfId="0" applyNumberFormat="1" applyFont="1" applyFill="1" applyBorder="1" applyAlignment="1">
      <alignment horizontal="center" vertical="center"/>
    </xf>
    <xf numFmtId="0" fontId="0" fillId="0" borderId="0" xfId="0" applyAlignment="1">
      <alignment horizontal="center"/>
    </xf>
    <xf numFmtId="0" fontId="30" fillId="6" borderId="0" xfId="0" applyNumberFormat="1" applyFont="1" applyFill="1" applyBorder="1" applyAlignment="1">
      <alignment horizontal="center" vertical="top"/>
    </xf>
    <xf numFmtId="165" fontId="30" fillId="6" borderId="7" xfId="0" applyNumberFormat="1" applyFont="1" applyFill="1" applyBorder="1" applyAlignment="1">
      <alignment horizontal="center" vertical="center"/>
    </xf>
    <xf numFmtId="165" fontId="30" fillId="6" borderId="9" xfId="0" applyNumberFormat="1" applyFont="1" applyFill="1" applyBorder="1" applyAlignment="1">
      <alignment horizontal="center" vertical="center"/>
    </xf>
    <xf numFmtId="165" fontId="30" fillId="6" borderId="8" xfId="0" applyNumberFormat="1" applyFont="1" applyFill="1" applyBorder="1" applyAlignment="1">
      <alignment horizontal="center" vertical="center"/>
    </xf>
    <xf numFmtId="0" fontId="36" fillId="0" borderId="0" xfId="0" applyFont="1"/>
    <xf numFmtId="167" fontId="7" fillId="0" borderId="0" xfId="0" applyNumberFormat="1" applyFont="1" applyAlignment="1">
      <alignment horizontal="center"/>
    </xf>
    <xf numFmtId="167" fontId="6" fillId="0" borderId="0" xfId="0" applyNumberFormat="1" applyFont="1" applyFill="1" applyBorder="1" applyAlignment="1">
      <alignment horizontal="center" vertical="center"/>
    </xf>
    <xf numFmtId="0" fontId="30" fillId="2" borderId="0" xfId="0" applyNumberFormat="1" applyFont="1" applyFill="1" applyBorder="1" applyAlignment="1">
      <alignment horizontal="center" vertical="top"/>
    </xf>
    <xf numFmtId="165" fontId="30" fillId="2" borderId="21" xfId="0" applyNumberFormat="1" applyFont="1" applyFill="1" applyBorder="1" applyAlignment="1">
      <alignment horizontal="center" vertical="center"/>
    </xf>
    <xf numFmtId="165" fontId="30" fillId="2" borderId="0" xfId="0" applyNumberFormat="1" applyFont="1" applyFill="1" applyBorder="1" applyAlignment="1">
      <alignment horizontal="center" vertical="center"/>
    </xf>
    <xf numFmtId="165" fontId="30" fillId="2" borderId="7" xfId="0" applyNumberFormat="1" applyFont="1" applyFill="1" applyBorder="1" applyAlignment="1">
      <alignment horizontal="center" vertical="center"/>
    </xf>
    <xf numFmtId="165" fontId="30" fillId="2" borderId="8" xfId="0" applyNumberFormat="1" applyFont="1" applyFill="1" applyBorder="1" applyAlignment="1">
      <alignment horizontal="center" vertical="center"/>
    </xf>
    <xf numFmtId="165" fontId="30" fillId="2" borderId="9" xfId="0" applyNumberFormat="1" applyFont="1" applyFill="1" applyBorder="1" applyAlignment="1">
      <alignment horizontal="center" vertical="center"/>
    </xf>
    <xf numFmtId="0" fontId="10" fillId="2" borderId="0" xfId="0" applyFont="1" applyFill="1" applyAlignment="1">
      <alignment horizontal="left" wrapText="1"/>
    </xf>
    <xf numFmtId="165" fontId="16" fillId="0" borderId="0" xfId="0" applyNumberFormat="1" applyFont="1" applyFill="1" applyBorder="1" applyAlignment="1">
      <alignment horizontal="right" vertical="center" wrapText="1"/>
    </xf>
    <xf numFmtId="0" fontId="13" fillId="0" borderId="0" xfId="0" applyFont="1" applyAlignment="1">
      <alignment wrapText="1"/>
    </xf>
    <xf numFmtId="0" fontId="8" fillId="0" borderId="0" xfId="0" applyFont="1" applyBorder="1" applyAlignment="1">
      <alignment horizontal="center" vertical="center" wrapText="1"/>
    </xf>
    <xf numFmtId="0" fontId="8" fillId="0" borderId="7" xfId="0" applyFont="1" applyBorder="1" applyAlignment="1">
      <alignment vertical="center"/>
    </xf>
    <xf numFmtId="0" fontId="8" fillId="0" borderId="7" xfId="0" applyFont="1" applyBorder="1" applyAlignment="1">
      <alignment vertical="center" wrapText="1"/>
    </xf>
    <xf numFmtId="0" fontId="8" fillId="0" borderId="7" xfId="0" applyFont="1" applyBorder="1" applyAlignment="1">
      <alignment horizontal="left" vertical="center" wrapText="1"/>
    </xf>
    <xf numFmtId="0" fontId="8" fillId="0" borderId="11" xfId="0" applyFont="1" applyBorder="1" applyAlignment="1">
      <alignment vertical="center" wrapText="1"/>
    </xf>
    <xf numFmtId="0" fontId="8" fillId="0" borderId="7" xfId="0" applyFont="1" applyFill="1" applyBorder="1" applyAlignment="1">
      <alignment vertical="center" wrapText="1"/>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0" xfId="0" applyFont="1" applyBorder="1" applyAlignment="1">
      <alignment horizontal="center" vertical="center"/>
    </xf>
    <xf numFmtId="9" fontId="8" fillId="0" borderId="0" xfId="0" applyNumberFormat="1"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20" fillId="0" borderId="2" xfId="0" applyFont="1" applyBorder="1" applyAlignment="1">
      <alignment horizontal="center" vertical="center"/>
    </xf>
    <xf numFmtId="1" fontId="8" fillId="0" borderId="0" xfId="0" applyNumberFormat="1" applyFont="1" applyBorder="1" applyAlignment="1">
      <alignment horizontal="right" vertical="center"/>
    </xf>
    <xf numFmtId="0" fontId="8" fillId="0" borderId="0" xfId="0" applyFont="1" applyBorder="1" applyAlignment="1">
      <alignment horizontal="right" vertical="center"/>
    </xf>
    <xf numFmtId="0" fontId="8" fillId="0" borderId="2" xfId="0" applyFont="1" applyBorder="1" applyAlignment="1">
      <alignment horizontal="right" vertical="center"/>
    </xf>
    <xf numFmtId="0" fontId="8" fillId="0" borderId="9" xfId="0" applyFont="1" applyFill="1" applyBorder="1" applyAlignment="1">
      <alignment vertical="center"/>
    </xf>
    <xf numFmtId="0" fontId="8" fillId="0" borderId="9" xfId="0" applyFont="1" applyBorder="1" applyAlignment="1">
      <alignment vertical="center"/>
    </xf>
    <xf numFmtId="0" fontId="8" fillId="0" borderId="12" xfId="0" applyFont="1" applyBorder="1" applyAlignment="1">
      <alignment vertical="center"/>
    </xf>
    <xf numFmtId="0" fontId="13" fillId="0" borderId="0" xfId="0" applyFont="1" applyAlignment="1">
      <alignment horizontal="center" vertical="center" wrapText="1"/>
    </xf>
    <xf numFmtId="0" fontId="8" fillId="0" borderId="9" xfId="0" applyFont="1" applyBorder="1" applyAlignment="1">
      <alignment vertical="center"/>
    </xf>
    <xf numFmtId="0" fontId="13" fillId="0" borderId="0" xfId="0" applyFont="1" applyAlignment="1">
      <alignment horizontal="center" vertical="center"/>
    </xf>
    <xf numFmtId="0" fontId="8" fillId="0" borderId="0" xfId="0" applyFont="1" applyBorder="1" applyAlignment="1">
      <alignment horizontal="center" vertical="center"/>
    </xf>
    <xf numFmtId="0" fontId="8" fillId="0" borderId="9" xfId="0" applyFont="1" applyFill="1" applyBorder="1" applyAlignment="1">
      <alignment vertical="center"/>
    </xf>
    <xf numFmtId="0" fontId="8" fillId="0" borderId="9"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7" xfId="0" applyFont="1" applyBorder="1" applyAlignment="1">
      <alignment horizontal="left" vertical="center"/>
    </xf>
    <xf numFmtId="0" fontId="8" fillId="0" borderId="9" xfId="0" applyFont="1" applyFill="1" applyBorder="1" applyAlignment="1">
      <alignment horizontal="center" vertical="center"/>
    </xf>
    <xf numFmtId="11" fontId="6" fillId="0" borderId="0" xfId="0" applyNumberFormat="1" applyFont="1" applyFill="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165" fontId="8" fillId="5" borderId="0" xfId="0" applyNumberFormat="1" applyFont="1" applyFill="1" applyBorder="1" applyAlignment="1">
      <alignment horizontal="right" vertical="center"/>
    </xf>
    <xf numFmtId="0" fontId="8" fillId="5" borderId="0" xfId="0" applyFont="1" applyFill="1" applyBorder="1" applyAlignment="1">
      <alignment horizontal="center" vertical="center"/>
    </xf>
    <xf numFmtId="11" fontId="8" fillId="5" borderId="0" xfId="0" applyNumberFormat="1" applyFont="1" applyFill="1" applyBorder="1" applyAlignment="1">
      <alignment vertical="center"/>
    </xf>
    <xf numFmtId="0" fontId="8" fillId="5" borderId="0" xfId="0" applyFont="1" applyFill="1" applyBorder="1" applyAlignment="1">
      <alignment horizontal="center" vertical="center" wrapText="1"/>
    </xf>
    <xf numFmtId="0" fontId="0" fillId="0" borderId="0" xfId="0" quotePrefix="1"/>
    <xf numFmtId="1" fontId="0" fillId="0" borderId="0" xfId="0" applyNumberFormat="1"/>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8" fillId="0" borderId="9" xfId="0" applyFont="1" applyFill="1" applyBorder="1" applyAlignment="1">
      <alignment vertical="center"/>
    </xf>
    <xf numFmtId="0" fontId="8" fillId="0" borderId="0" xfId="0" applyFont="1" applyBorder="1" applyAlignment="1">
      <alignment vertical="center"/>
    </xf>
    <xf numFmtId="0" fontId="8" fillId="0" borderId="7" xfId="0" applyFont="1" applyBorder="1" applyAlignment="1">
      <alignment horizontal="left" vertical="center"/>
    </xf>
    <xf numFmtId="0" fontId="8" fillId="0" borderId="9" xfId="0" applyFont="1" applyBorder="1" applyAlignment="1">
      <alignment vertical="center"/>
    </xf>
    <xf numFmtId="0" fontId="8" fillId="0" borderId="7" xfId="0" applyFont="1" applyBorder="1" applyAlignment="1">
      <alignment vertical="center"/>
    </xf>
    <xf numFmtId="0" fontId="8" fillId="0" borderId="0" xfId="0" applyFont="1" applyBorder="1" applyAlignment="1">
      <alignment horizontal="right" vertical="center"/>
    </xf>
    <xf numFmtId="0" fontId="8" fillId="0" borderId="2" xfId="0" applyFont="1" applyFill="1" applyBorder="1" applyAlignment="1">
      <alignment horizontal="center" vertical="center"/>
    </xf>
    <xf numFmtId="0" fontId="8" fillId="0" borderId="2" xfId="0" applyFont="1" applyBorder="1" applyAlignment="1">
      <alignment horizontal="center" vertical="center"/>
    </xf>
    <xf numFmtId="0" fontId="20" fillId="0" borderId="2" xfId="0" applyFont="1" applyBorder="1" applyAlignment="1">
      <alignment horizontal="center" vertical="center"/>
    </xf>
    <xf numFmtId="0" fontId="8" fillId="0" borderId="2" xfId="0" applyFont="1" applyBorder="1" applyAlignment="1">
      <alignment horizontal="right" vertical="center"/>
    </xf>
    <xf numFmtId="0" fontId="8" fillId="0" borderId="12" xfId="0" applyFont="1" applyBorder="1" applyAlignment="1">
      <alignment vertical="center"/>
    </xf>
    <xf numFmtId="0" fontId="8" fillId="0" borderId="9" xfId="0" applyFont="1" applyFill="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6" fillId="0" borderId="0" xfId="0" applyFont="1" applyFill="1" applyBorder="1" applyAlignment="1">
      <alignment horizontal="center" vertical="center"/>
    </xf>
    <xf numFmtId="0" fontId="6" fillId="0" borderId="9" xfId="0" applyFont="1" applyFill="1" applyBorder="1" applyAlignment="1">
      <alignment vertical="center"/>
    </xf>
    <xf numFmtId="0" fontId="6" fillId="0" borderId="9" xfId="0" applyFont="1" applyBorder="1" applyAlignment="1">
      <alignment vertical="center"/>
    </xf>
    <xf numFmtId="165" fontId="6" fillId="0" borderId="0" xfId="0" applyNumberFormat="1" applyFont="1" applyFill="1" applyBorder="1" applyAlignment="1">
      <alignment horizontal="right" vertical="center"/>
    </xf>
    <xf numFmtId="0" fontId="6" fillId="0" borderId="0" xfId="0" applyFont="1" applyFill="1" applyBorder="1" applyAlignment="1">
      <alignment vertical="center"/>
    </xf>
    <xf numFmtId="165" fontId="6" fillId="0" borderId="0" xfId="0" applyNumberFormat="1" applyFont="1" applyFill="1" applyBorder="1" applyAlignment="1">
      <alignment vertical="center"/>
    </xf>
    <xf numFmtId="11" fontId="16" fillId="0" borderId="0" xfId="0" applyNumberFormat="1" applyFont="1" applyBorder="1" applyAlignment="1">
      <alignment horizontal="center" vertical="center"/>
    </xf>
    <xf numFmtId="11" fontId="16" fillId="0" borderId="0" xfId="0" applyNumberFormat="1" applyFont="1" applyBorder="1" applyAlignment="1">
      <alignment horizontal="center" vertical="center" wrapText="1"/>
    </xf>
    <xf numFmtId="9" fontId="16" fillId="0" borderId="0" xfId="0" applyNumberFormat="1" applyFont="1" applyBorder="1" applyAlignment="1">
      <alignment horizontal="center" vertical="center"/>
    </xf>
    <xf numFmtId="0" fontId="29" fillId="7" borderId="16" xfId="0" applyNumberFormat="1" applyFont="1" applyFill="1" applyBorder="1" applyAlignment="1">
      <alignment horizontal="center" vertical="center"/>
    </xf>
    <xf numFmtId="0" fontId="29" fillId="7" borderId="0" xfId="0" applyNumberFormat="1" applyFont="1" applyFill="1" applyBorder="1" applyAlignment="1">
      <alignment horizontal="center" vertical="center"/>
    </xf>
    <xf numFmtId="0" fontId="29" fillId="7" borderId="21" xfId="0" applyNumberFormat="1" applyFont="1" applyFill="1" applyBorder="1" applyAlignment="1">
      <alignment horizontal="center" vertical="center"/>
    </xf>
    <xf numFmtId="0" fontId="29" fillId="7" borderId="7" xfId="0" applyNumberFormat="1" applyFont="1" applyFill="1" applyBorder="1" applyAlignment="1">
      <alignment horizontal="center" vertical="center"/>
    </xf>
    <xf numFmtId="0" fontId="29" fillId="7" borderId="8" xfId="0" applyNumberFormat="1" applyFont="1" applyFill="1" applyBorder="1" applyAlignment="1">
      <alignment horizontal="center" vertical="center"/>
    </xf>
    <xf numFmtId="0" fontId="29" fillId="7" borderId="9" xfId="0" applyNumberFormat="1" applyFont="1" applyFill="1" applyBorder="1" applyAlignment="1">
      <alignment horizontal="center" vertical="center"/>
    </xf>
    <xf numFmtId="9" fontId="29" fillId="7" borderId="7" xfId="0" applyNumberFormat="1" applyFont="1" applyFill="1" applyBorder="1" applyAlignment="1">
      <alignment horizontal="center" vertical="center"/>
    </xf>
    <xf numFmtId="9" fontId="29" fillId="7" borderId="0" xfId="0" applyNumberFormat="1" applyFont="1" applyFill="1" applyBorder="1" applyAlignment="1">
      <alignment horizontal="center" vertical="center"/>
    </xf>
    <xf numFmtId="9" fontId="29" fillId="7" borderId="17" xfId="0" applyNumberFormat="1" applyFont="1" applyFill="1" applyBorder="1" applyAlignment="1">
      <alignment horizontal="center" vertical="center"/>
    </xf>
    <xf numFmtId="0" fontId="30" fillId="2" borderId="22" xfId="0" applyNumberFormat="1" applyFont="1" applyFill="1" applyBorder="1" applyAlignment="1">
      <alignment horizontal="center" vertical="top"/>
    </xf>
    <xf numFmtId="0" fontId="30" fillId="2" borderId="23" xfId="0" applyNumberFormat="1" applyFont="1" applyFill="1" applyBorder="1" applyAlignment="1">
      <alignment horizontal="center" vertical="top"/>
    </xf>
    <xf numFmtId="165" fontId="30" fillId="2" borderId="24" xfId="0" applyNumberFormat="1" applyFont="1" applyFill="1" applyBorder="1" applyAlignment="1">
      <alignment horizontal="center" vertical="center"/>
    </xf>
    <xf numFmtId="165" fontId="30" fillId="2" borderId="23" xfId="0" applyNumberFormat="1" applyFont="1" applyFill="1" applyBorder="1" applyAlignment="1">
      <alignment horizontal="center" vertical="center"/>
    </xf>
    <xf numFmtId="165" fontId="30" fillId="2" borderId="25" xfId="0" applyNumberFormat="1" applyFont="1" applyFill="1" applyBorder="1" applyAlignment="1">
      <alignment horizontal="center" vertical="center"/>
    </xf>
    <xf numFmtId="165" fontId="30" fillId="2" borderId="26" xfId="0" applyNumberFormat="1" applyFont="1" applyFill="1" applyBorder="1" applyAlignment="1">
      <alignment horizontal="center" vertical="center"/>
    </xf>
    <xf numFmtId="165" fontId="30" fillId="2" borderId="27" xfId="0" applyNumberFormat="1" applyFont="1" applyFill="1" applyBorder="1" applyAlignment="1">
      <alignment horizontal="center" vertical="center"/>
    </xf>
    <xf numFmtId="165" fontId="30" fillId="2" borderId="28" xfId="0" applyNumberFormat="1" applyFont="1" applyFill="1" applyBorder="1" applyAlignment="1">
      <alignment horizontal="center" vertical="center"/>
    </xf>
    <xf numFmtId="0" fontId="30" fillId="2" borderId="29" xfId="0" applyNumberFormat="1" applyFont="1" applyFill="1" applyBorder="1" applyAlignment="1">
      <alignment horizontal="center" vertical="top"/>
    </xf>
    <xf numFmtId="165" fontId="30" fillId="2" borderId="30" xfId="0" applyNumberFormat="1" applyFont="1" applyFill="1" applyBorder="1" applyAlignment="1">
      <alignment horizontal="center" vertical="center"/>
    </xf>
    <xf numFmtId="0" fontId="30" fillId="6" borderId="29" xfId="0" applyNumberFormat="1" applyFont="1" applyFill="1" applyBorder="1" applyAlignment="1">
      <alignment horizontal="center" vertical="top"/>
    </xf>
    <xf numFmtId="165" fontId="30" fillId="6" borderId="30" xfId="0" applyNumberFormat="1" applyFont="1" applyFill="1" applyBorder="1" applyAlignment="1">
      <alignment horizontal="center" vertical="center"/>
    </xf>
    <xf numFmtId="0" fontId="30" fillId="6" borderId="31" xfId="0" applyNumberFormat="1" applyFont="1" applyFill="1" applyBorder="1" applyAlignment="1">
      <alignment horizontal="center" vertical="top"/>
    </xf>
    <xf numFmtId="0" fontId="30" fillId="6" borderId="32" xfId="0" applyNumberFormat="1" applyFont="1" applyFill="1" applyBorder="1" applyAlignment="1">
      <alignment horizontal="center" vertical="top"/>
    </xf>
    <xf numFmtId="165" fontId="30" fillId="6" borderId="33" xfId="0" applyNumberFormat="1" applyFont="1" applyFill="1" applyBorder="1" applyAlignment="1">
      <alignment horizontal="center" vertical="center"/>
    </xf>
    <xf numFmtId="165" fontId="30" fillId="6" borderId="32" xfId="0" applyNumberFormat="1" applyFont="1" applyFill="1" applyBorder="1" applyAlignment="1">
      <alignment horizontal="center" vertical="center"/>
    </xf>
    <xf numFmtId="165" fontId="30" fillId="6" borderId="34" xfId="0" applyNumberFormat="1" applyFont="1" applyFill="1" applyBorder="1" applyAlignment="1">
      <alignment horizontal="center" vertical="center"/>
    </xf>
    <xf numFmtId="165" fontId="30" fillId="6" borderId="35" xfId="0" applyNumberFormat="1" applyFont="1" applyFill="1" applyBorder="1" applyAlignment="1">
      <alignment horizontal="center" vertical="center"/>
    </xf>
    <xf numFmtId="165" fontId="30" fillId="6" borderId="36" xfId="0" applyNumberFormat="1" applyFont="1" applyFill="1" applyBorder="1" applyAlignment="1">
      <alignment horizontal="center" vertical="center"/>
    </xf>
    <xf numFmtId="165" fontId="30" fillId="6" borderId="37" xfId="0" applyNumberFormat="1" applyFont="1" applyFill="1" applyBorder="1" applyAlignment="1">
      <alignment horizontal="center" vertical="center"/>
    </xf>
    <xf numFmtId="0" fontId="20" fillId="0" borderId="0" xfId="0" applyFont="1" applyAlignment="1">
      <alignment horizontal="center" vertical="center"/>
    </xf>
    <xf numFmtId="0" fontId="8" fillId="0" borderId="0" xfId="0" applyFont="1" applyFill="1" applyBorder="1" applyAlignment="1">
      <alignment horizontal="center" vertical="center" wrapText="1"/>
    </xf>
    <xf numFmtId="11" fontId="8" fillId="0" borderId="0" xfId="0" applyNumberFormat="1" applyFont="1" applyFill="1" applyBorder="1" applyAlignment="1">
      <alignment vertical="center"/>
    </xf>
    <xf numFmtId="9" fontId="8" fillId="0" borderId="0" xfId="0" applyNumberFormat="1" applyFont="1" applyFill="1" applyBorder="1" applyAlignment="1">
      <alignment horizontal="center" vertical="center"/>
    </xf>
    <xf numFmtId="1" fontId="8" fillId="0" borderId="0" xfId="0" applyNumberFormat="1" applyFont="1" applyFill="1" applyBorder="1" applyAlignment="1">
      <alignment horizontal="right" vertical="center"/>
    </xf>
    <xf numFmtId="165" fontId="8" fillId="0" borderId="0" xfId="0" applyNumberFormat="1" applyFont="1" applyFill="1" applyBorder="1" applyAlignment="1">
      <alignment horizontal="right" vertical="center"/>
    </xf>
    <xf numFmtId="2" fontId="16" fillId="0" borderId="0" xfId="0" applyNumberFormat="1" applyFont="1" applyBorder="1" applyAlignment="1">
      <alignment horizontal="center" vertical="center"/>
    </xf>
    <xf numFmtId="0" fontId="14" fillId="0" borderId="0" xfId="0" applyFont="1" applyBorder="1" applyAlignment="1">
      <alignment horizontal="center" vertical="center"/>
    </xf>
    <xf numFmtId="0" fontId="14" fillId="0" borderId="2" xfId="0" applyFont="1" applyBorder="1" applyAlignment="1">
      <alignment horizontal="center" vertical="center"/>
    </xf>
    <xf numFmtId="0" fontId="11" fillId="0" borderId="0" xfId="0" applyFont="1" applyAlignment="1">
      <alignment horizontal="left" wrapText="1"/>
    </xf>
    <xf numFmtId="0" fontId="10" fillId="2" borderId="0" xfId="0" applyFont="1" applyFill="1" applyAlignment="1">
      <alignment horizontal="left" wrapText="1"/>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18" fillId="4" borderId="5" xfId="0" applyFont="1" applyFill="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8" fillId="0" borderId="7" xfId="0" applyFont="1" applyBorder="1" applyAlignment="1">
      <alignment horizontal="left" vertical="center" wrapText="1"/>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18" fillId="4" borderId="1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12" xfId="0" applyFont="1" applyFill="1" applyBorder="1" applyAlignment="1">
      <alignment horizontal="center" vertical="center"/>
    </xf>
    <xf numFmtId="0" fontId="35" fillId="4" borderId="11" xfId="0" applyFont="1" applyFill="1" applyBorder="1" applyAlignment="1">
      <alignment horizontal="center" vertical="center"/>
    </xf>
    <xf numFmtId="0" fontId="35" fillId="4" borderId="2" xfId="0" applyFont="1" applyFill="1" applyBorder="1" applyAlignment="1">
      <alignment horizontal="center" vertical="center"/>
    </xf>
    <xf numFmtId="0" fontId="35" fillId="4" borderId="12" xfId="0" applyFont="1" applyFill="1" applyBorder="1" applyAlignment="1">
      <alignment horizontal="center" vertical="center"/>
    </xf>
    <xf numFmtId="0" fontId="25" fillId="0" borderId="0" xfId="0" applyFont="1" applyAlignment="1">
      <alignment horizontal="center" vertical="center" wrapText="1"/>
    </xf>
    <xf numFmtId="0" fontId="11" fillId="0" borderId="0" xfId="0" applyFont="1" applyAlignment="1">
      <alignment horizontal="center" vertical="center" wrapText="1"/>
    </xf>
    <xf numFmtId="0" fontId="7" fillId="0" borderId="7"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xf>
    <xf numFmtId="0" fontId="7" fillId="0" borderId="12" xfId="0" applyFont="1" applyBorder="1" applyAlignment="1">
      <alignment horizontal="center" vertical="center"/>
    </xf>
    <xf numFmtId="0" fontId="26" fillId="0" borderId="0" xfId="0" applyFont="1" applyBorder="1" applyAlignment="1">
      <alignment horizontal="center" vertical="center" wrapText="1"/>
    </xf>
    <xf numFmtId="0" fontId="27" fillId="0" borderId="0" xfId="0" applyFont="1" applyBorder="1" applyAlignment="1">
      <alignment horizontal="left" vertical="center" wrapText="1"/>
    </xf>
    <xf numFmtId="0" fontId="29" fillId="7" borderId="13" xfId="0" applyNumberFormat="1" applyFont="1" applyFill="1" applyBorder="1" applyAlignment="1">
      <alignment horizontal="center" vertical="center"/>
    </xf>
    <xf numFmtId="0" fontId="29" fillId="7" borderId="14" xfId="0" applyNumberFormat="1" applyFont="1" applyFill="1" applyBorder="1" applyAlignment="1">
      <alignment horizontal="center" vertical="center"/>
    </xf>
    <xf numFmtId="0" fontId="29" fillId="7" borderId="20" xfId="0" applyNumberFormat="1" applyFont="1" applyFill="1" applyBorder="1" applyAlignment="1">
      <alignment horizontal="center" vertical="center"/>
    </xf>
    <xf numFmtId="0" fontId="31" fillId="0" borderId="0" xfId="0" applyFont="1" applyAlignment="1">
      <alignment horizontal="center" vertical="center" wrapText="1"/>
    </xf>
  </cellXfs>
  <cellStyles count="8">
    <cellStyle name="Normal" xfId="0" builtinId="0"/>
    <cellStyle name="Normal 2" xfId="1"/>
    <cellStyle name="Normal 2 2" xfId="6"/>
    <cellStyle name="Normal 3" xfId="2"/>
    <cellStyle name="Normal 4" xfId="3"/>
    <cellStyle name="Normal 5" xfId="4"/>
    <cellStyle name="Normal 6" xfId="5"/>
    <cellStyle name="Pourcentage 2" xfId="7"/>
  </cellStyles>
  <dxfs count="0"/>
  <tableStyles count="0" defaultTableStyle="TableStyleMedium2" defaultPivotStyle="PivotStyleLight16"/>
  <colors>
    <mruColors>
      <color rgb="FFCCFFCC"/>
      <color rgb="FFF1F5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Solutions!$O$69</c:f>
              <c:strCache>
                <c:ptCount val="1"/>
                <c:pt idx="0">
                  <c:v>pH=6</c:v>
                </c:pt>
              </c:strCache>
            </c:strRef>
          </c:tx>
          <c:cat>
            <c:strRef>
              <c:f>Solutions!$P$68:$Q$68</c:f>
              <c:strCache>
                <c:ptCount val="2"/>
                <c:pt idx="0">
                  <c:v>6°C</c:v>
                </c:pt>
                <c:pt idx="1">
                  <c:v>8°C</c:v>
                </c:pt>
              </c:strCache>
            </c:strRef>
          </c:cat>
          <c:val>
            <c:numRef>
              <c:f>Solutions!$P$69:$Q$69</c:f>
              <c:numCache>
                <c:formatCode>0.0%</c:formatCode>
                <c:ptCount val="2"/>
                <c:pt idx="0">
                  <c:v>1.9E-2</c:v>
                </c:pt>
                <c:pt idx="1">
                  <c:v>4.5999999999999999E-2</c:v>
                </c:pt>
              </c:numCache>
            </c:numRef>
          </c:val>
          <c:smooth val="0"/>
        </c:ser>
        <c:ser>
          <c:idx val="0"/>
          <c:order val="1"/>
          <c:tx>
            <c:strRef>
              <c:f>Solutions!$O$70</c:f>
              <c:strCache>
                <c:ptCount val="1"/>
                <c:pt idx="0">
                  <c:v>pH=5.5</c:v>
                </c:pt>
              </c:strCache>
            </c:strRef>
          </c:tx>
          <c:cat>
            <c:strRef>
              <c:f>Solutions!$P$68:$Q$68</c:f>
              <c:strCache>
                <c:ptCount val="2"/>
                <c:pt idx="0">
                  <c:v>6°C</c:v>
                </c:pt>
                <c:pt idx="1">
                  <c:v>8°C</c:v>
                </c:pt>
              </c:strCache>
            </c:strRef>
          </c:cat>
          <c:val>
            <c:numRef>
              <c:f>Solutions!$P$70:$Q$70</c:f>
              <c:numCache>
                <c:formatCode>0.0%</c:formatCode>
                <c:ptCount val="2"/>
                <c:pt idx="0">
                  <c:v>8.0000000000000002E-3</c:v>
                </c:pt>
                <c:pt idx="1">
                  <c:v>1.4E-2</c:v>
                </c:pt>
              </c:numCache>
            </c:numRef>
          </c:val>
          <c:smooth val="0"/>
        </c:ser>
        <c:dLbls>
          <c:showLegendKey val="0"/>
          <c:showVal val="0"/>
          <c:showCatName val="0"/>
          <c:showSerName val="0"/>
          <c:showPercent val="0"/>
          <c:showBubbleSize val="0"/>
        </c:dLbls>
        <c:marker val="1"/>
        <c:smooth val="0"/>
        <c:axId val="95008256"/>
        <c:axId val="102465536"/>
      </c:lineChart>
      <c:catAx>
        <c:axId val="95008256"/>
        <c:scaling>
          <c:orientation val="minMax"/>
        </c:scaling>
        <c:delete val="0"/>
        <c:axPos val="b"/>
        <c:title>
          <c:tx>
            <c:rich>
              <a:bodyPr/>
              <a:lstStyle/>
              <a:p>
                <a:pPr>
                  <a:defRPr sz="1100" b="0"/>
                </a:pPr>
                <a:r>
                  <a:rPr lang="en-GB" sz="1100" b="0"/>
                  <a:t>Mean</a:t>
                </a:r>
                <a:r>
                  <a:rPr lang="en-GB" sz="1100" b="0" baseline="0"/>
                  <a:t> temperature of product storage</a:t>
                </a:r>
                <a:endParaRPr lang="en-GB" sz="1100" b="0"/>
              </a:p>
            </c:rich>
          </c:tx>
          <c:overlay val="0"/>
        </c:title>
        <c:numFmt formatCode="General" sourceLinked="1"/>
        <c:majorTickMark val="none"/>
        <c:minorTickMark val="none"/>
        <c:tickLblPos val="nextTo"/>
        <c:txPr>
          <a:bodyPr/>
          <a:lstStyle/>
          <a:p>
            <a:pPr>
              <a:defRPr sz="1100"/>
            </a:pPr>
            <a:endParaRPr lang="en-US"/>
          </a:p>
        </c:txPr>
        <c:crossAx val="102465536"/>
        <c:crosses val="autoZero"/>
        <c:auto val="1"/>
        <c:lblAlgn val="ctr"/>
        <c:lblOffset val="100"/>
        <c:noMultiLvlLbl val="0"/>
      </c:catAx>
      <c:valAx>
        <c:axId val="102465536"/>
        <c:scaling>
          <c:orientation val="minMax"/>
          <c:max val="5.000000000000001E-2"/>
        </c:scaling>
        <c:delete val="0"/>
        <c:axPos val="l"/>
        <c:majorGridlines/>
        <c:title>
          <c:tx>
            <c:rich>
              <a:bodyPr/>
              <a:lstStyle/>
              <a:p>
                <a:pPr>
                  <a:defRPr sz="1100" b="0"/>
                </a:pPr>
                <a:r>
                  <a:rPr lang="en-GB" sz="1100" b="0"/>
                  <a:t>Percentage of product unit contaminated with more than 5 log cfu/g</a:t>
                </a:r>
              </a:p>
            </c:rich>
          </c:tx>
          <c:layout>
            <c:manualLayout>
              <c:xMode val="edge"/>
              <c:yMode val="edge"/>
              <c:x val="1.727024381692548E-2"/>
              <c:y val="0.11129385341072115"/>
            </c:manualLayout>
          </c:layout>
          <c:overlay val="0"/>
        </c:title>
        <c:numFmt formatCode="0.0%" sourceLinked="1"/>
        <c:majorTickMark val="out"/>
        <c:minorTickMark val="none"/>
        <c:tickLblPos val="nextTo"/>
        <c:txPr>
          <a:bodyPr/>
          <a:lstStyle/>
          <a:p>
            <a:pPr>
              <a:defRPr sz="1100"/>
            </a:pPr>
            <a:endParaRPr lang="en-US"/>
          </a:p>
        </c:txPr>
        <c:crossAx val="95008256"/>
        <c:crosses val="autoZero"/>
        <c:crossBetween val="between"/>
      </c:valAx>
    </c:plotArea>
    <c:legend>
      <c:legendPos val="r"/>
      <c:layout>
        <c:manualLayout>
          <c:xMode val="edge"/>
          <c:yMode val="edge"/>
          <c:x val="0.83909536307961508"/>
          <c:y val="3.9525464608943475E-2"/>
          <c:w val="0.15346977731679645"/>
          <c:h val="0.77662365171632364"/>
        </c:manualLayout>
      </c:layout>
      <c:overlay val="0"/>
      <c:txPr>
        <a:bodyPr/>
        <a:lstStyle/>
        <a:p>
          <a:pPr>
            <a:defRPr sz="1100"/>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287449</xdr:colOff>
      <xdr:row>4</xdr:row>
      <xdr:rowOff>103755</xdr:rowOff>
    </xdr:from>
    <xdr:to>
      <xdr:col>21</xdr:col>
      <xdr:colOff>309563</xdr:colOff>
      <xdr:row>6</xdr:row>
      <xdr:rowOff>421822</xdr:rowOff>
    </xdr:to>
    <xdr:sp macro="" textlink="">
      <xdr:nvSpPr>
        <xdr:cNvPr id="2" name="Rectangular Callout 4"/>
        <xdr:cNvSpPr/>
      </xdr:nvSpPr>
      <xdr:spPr>
        <a:xfrm>
          <a:off x="12836637" y="1032443"/>
          <a:ext cx="7189676" cy="794317"/>
        </a:xfrm>
        <a:prstGeom prst="wedgeRectCallout">
          <a:avLst>
            <a:gd name="adj1" fmla="val -64979"/>
            <a:gd name="adj2" fmla="val -148"/>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lvl="0"/>
          <a:r>
            <a:rPr lang="en-GB" sz="1100" b="1">
              <a:solidFill>
                <a:schemeClr val="dk1"/>
              </a:solidFill>
              <a:effectLst/>
              <a:latin typeface="+mn-lt"/>
              <a:ea typeface="+mn-ea"/>
              <a:cs typeface="+mn-cs"/>
            </a:rPr>
            <a:t>1- </a:t>
          </a:r>
          <a:r>
            <a:rPr lang="en-GB" sz="1100">
              <a:solidFill>
                <a:schemeClr val="dk1"/>
              </a:solidFill>
              <a:effectLst/>
              <a:latin typeface="+mn-lt"/>
              <a:ea typeface="+mn-ea"/>
              <a:cs typeface="+mn-cs"/>
            </a:rPr>
            <a:t>The inputs of the model which are probabilistic and which might influence the output are: microbial concentration in raw materials (RM1 in F26 in the Excel sheet, RM2 in F28 and RM3 in F30), decimal reduction time reference (F44), the heat treatment model error (F48), the lag time (F52), the temperature of the product storage (F53), the minimal temperature of growth (F56) and the growth rate model error (F61). </a:t>
          </a:r>
          <a:endParaRPr lang="en-US" sz="1100">
            <a:solidFill>
              <a:schemeClr val="dk1"/>
            </a:solidFill>
            <a:effectLst/>
            <a:latin typeface="+mn-lt"/>
            <a:ea typeface="+mn-ea"/>
            <a:cs typeface="+mn-cs"/>
          </a:endParaRPr>
        </a:p>
      </xdr:txBody>
    </xdr:sp>
    <xdr:clientData/>
  </xdr:twoCellAnchor>
  <xdr:twoCellAnchor>
    <xdr:from>
      <xdr:col>14</xdr:col>
      <xdr:colOff>286769</xdr:colOff>
      <xdr:row>7</xdr:row>
      <xdr:rowOff>126884</xdr:rowOff>
    </xdr:from>
    <xdr:to>
      <xdr:col>21</xdr:col>
      <xdr:colOff>309563</xdr:colOff>
      <xdr:row>8</xdr:row>
      <xdr:rowOff>452436</xdr:rowOff>
    </xdr:to>
    <xdr:sp macro="" textlink="">
      <xdr:nvSpPr>
        <xdr:cNvPr id="3" name="Rectangular Callout 4"/>
        <xdr:cNvSpPr/>
      </xdr:nvSpPr>
      <xdr:spPr>
        <a:xfrm>
          <a:off x="12835957" y="1972353"/>
          <a:ext cx="7190356" cy="468427"/>
        </a:xfrm>
        <a:prstGeom prst="wedgeRectCallout">
          <a:avLst>
            <a:gd name="adj1" fmla="val -56775"/>
            <a:gd name="adj2" fmla="val 31002"/>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lvl="0"/>
          <a:r>
            <a:rPr lang="en-GB" sz="1100" b="1" i="0">
              <a:solidFill>
                <a:schemeClr val="dk1"/>
              </a:solidFill>
              <a:effectLst/>
              <a:latin typeface="+mn-lt"/>
              <a:ea typeface="+mn-ea"/>
              <a:cs typeface="+mn-cs"/>
            </a:rPr>
            <a:t>2-</a:t>
          </a:r>
          <a:r>
            <a:rPr lang="en-GB" sz="1100" b="1" i="0" baseline="0">
              <a:solidFill>
                <a:schemeClr val="dk1"/>
              </a:solidFill>
              <a:effectLst/>
              <a:latin typeface="+mn-lt"/>
              <a:ea typeface="+mn-ea"/>
              <a:cs typeface="+mn-cs"/>
            </a:rPr>
            <a:t> </a:t>
          </a:r>
          <a:r>
            <a:rPr lang="en-GB" sz="1100">
              <a:solidFill>
                <a:schemeClr val="dk1"/>
              </a:solidFill>
              <a:effectLst/>
              <a:latin typeface="+mn-lt"/>
              <a:ea typeface="+mn-ea"/>
              <a:cs typeface="+mn-cs"/>
            </a:rPr>
            <a:t>The summary of simulations is reported in the Excel sheet, the percentile graph is in Figure E8-1 and the tornado graph in Figure E8-2. Note that your results could be slightly different according to the number of iteration selected.</a:t>
          </a:r>
          <a:endParaRPr lang="en-US" sz="1100">
            <a:solidFill>
              <a:schemeClr val="dk1"/>
            </a:solidFill>
            <a:effectLst/>
            <a:latin typeface="+mn-lt"/>
            <a:ea typeface="+mn-ea"/>
            <a:cs typeface="+mn-cs"/>
          </a:endParaRPr>
        </a:p>
      </xdr:txBody>
    </xdr:sp>
    <xdr:clientData/>
  </xdr:twoCellAnchor>
  <xdr:twoCellAnchor>
    <xdr:from>
      <xdr:col>14</xdr:col>
      <xdr:colOff>280986</xdr:colOff>
      <xdr:row>8</xdr:row>
      <xdr:rowOff>603814</xdr:rowOff>
    </xdr:from>
    <xdr:to>
      <xdr:col>21</xdr:col>
      <xdr:colOff>321469</xdr:colOff>
      <xdr:row>15</xdr:row>
      <xdr:rowOff>27214</xdr:rowOff>
    </xdr:to>
    <xdr:sp macro="" textlink="">
      <xdr:nvSpPr>
        <xdr:cNvPr id="6" name="Rectangular Callout 4"/>
        <xdr:cNvSpPr/>
      </xdr:nvSpPr>
      <xdr:spPr>
        <a:xfrm>
          <a:off x="12830174" y="2592158"/>
          <a:ext cx="7208045" cy="792619"/>
        </a:xfrm>
        <a:prstGeom prst="wedgeRectCallout">
          <a:avLst>
            <a:gd name="adj1" fmla="val -125554"/>
            <a:gd name="adj2" fmla="val 83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r>
            <a:rPr lang="en-GB" sz="1100" b="1">
              <a:solidFill>
                <a:schemeClr val="dk1"/>
              </a:solidFill>
              <a:effectLst/>
              <a:latin typeface="+mn-lt"/>
              <a:ea typeface="+mn-ea"/>
              <a:cs typeface="+mn-cs"/>
            </a:rPr>
            <a:t>3-</a:t>
          </a:r>
          <a:r>
            <a:rPr lang="en-GB" sz="1100">
              <a:solidFill>
                <a:schemeClr val="dk1"/>
              </a:solidFill>
              <a:effectLst/>
              <a:latin typeface="+mn-lt"/>
              <a:ea typeface="+mn-ea"/>
              <a:cs typeface="+mn-cs"/>
            </a:rPr>
            <a:t> The most influential input is the decimal reduction time, at low D* values there is full inactivation of bacteria. Then, with a lower impact the temperature of the product, the error of the growth model and the levels in raw material are the next most influential inputs. The change on the output according to input values can be appreciated on the graph of percentiles (E8-1) and the Tornado graph which give the ranking of influencing inputs and the magnitude of the change. </a:t>
          </a:r>
          <a:endParaRPr lang="en-US" sz="1100">
            <a:solidFill>
              <a:schemeClr val="dk1"/>
            </a:solidFill>
            <a:effectLst/>
            <a:latin typeface="+mn-lt"/>
            <a:ea typeface="+mn-ea"/>
            <a:cs typeface="+mn-cs"/>
          </a:endParaRPr>
        </a:p>
      </xdr:txBody>
    </xdr:sp>
    <xdr:clientData/>
  </xdr:twoCellAnchor>
  <xdr:twoCellAnchor>
    <xdr:from>
      <xdr:col>14</xdr:col>
      <xdr:colOff>288809</xdr:colOff>
      <xdr:row>16</xdr:row>
      <xdr:rowOff>166687</xdr:rowOff>
    </xdr:from>
    <xdr:to>
      <xdr:col>21</xdr:col>
      <xdr:colOff>321469</xdr:colOff>
      <xdr:row>21</xdr:row>
      <xdr:rowOff>122466</xdr:rowOff>
    </xdr:to>
    <xdr:sp macro="" textlink="">
      <xdr:nvSpPr>
        <xdr:cNvPr id="7" name="Rectangular Callout 4"/>
        <xdr:cNvSpPr/>
      </xdr:nvSpPr>
      <xdr:spPr>
        <a:xfrm>
          <a:off x="12837997" y="3571875"/>
          <a:ext cx="7200222" cy="991622"/>
        </a:xfrm>
        <a:prstGeom prst="wedgeRectCallout">
          <a:avLst>
            <a:gd name="adj1" fmla="val -93426"/>
            <a:gd name="adj2" fmla="val -17827"/>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lvl="0"/>
          <a:r>
            <a:rPr lang="en-GB" sz="1100" b="1">
              <a:solidFill>
                <a:schemeClr val="dk1"/>
              </a:solidFill>
              <a:effectLst/>
              <a:latin typeface="+mn-lt"/>
              <a:ea typeface="+mn-ea"/>
              <a:cs typeface="+mn-cs"/>
            </a:rPr>
            <a:t>4- </a:t>
          </a:r>
          <a:r>
            <a:rPr lang="en-GB" sz="1100">
              <a:solidFill>
                <a:schemeClr val="dk1"/>
              </a:solidFill>
              <a:effectLst/>
              <a:latin typeface="+mn-lt"/>
              <a:ea typeface="+mn-ea"/>
              <a:cs typeface="+mn-cs"/>
            </a:rPr>
            <a:t>The model must be run for the different scenarios suggested. First change the shelf-life at 28 days and then explore the 4</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combinations of temperature and pH of the product. To explain the differences among scenarios to your manager you need to select an output of interest as the percentage of product unit contaminated with more than 5 log (Q54). The results of simulations are given below in the Table E8-1 and can be seen on the graph E8-3. The best option seems to be a pH of 5.5 with a temperature at about 6°C but it is your manager that must decide which values are acceptable or not.</a:t>
          </a:r>
          <a:endParaRPr lang="en-GB" sz="1100" i="1">
            <a:solidFill>
              <a:schemeClr val="dk1"/>
            </a:solidFill>
            <a:effectLst/>
            <a:latin typeface="+mn-lt"/>
            <a:ea typeface="+mn-ea"/>
            <a:cs typeface="+mn-cs"/>
          </a:endParaRPr>
        </a:p>
      </xdr:txBody>
    </xdr:sp>
    <xdr:clientData/>
  </xdr:twoCellAnchor>
  <xdr:twoCellAnchor>
    <xdr:from>
      <xdr:col>13</xdr:col>
      <xdr:colOff>1220107</xdr:colOff>
      <xdr:row>72</xdr:row>
      <xdr:rowOff>121782</xdr:rowOff>
    </xdr:from>
    <xdr:to>
      <xdr:col>18</xdr:col>
      <xdr:colOff>77107</xdr:colOff>
      <xdr:row>86</xdr:row>
      <xdr:rowOff>176892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71437</xdr:colOff>
      <xdr:row>82</xdr:row>
      <xdr:rowOff>83344</xdr:rowOff>
    </xdr:from>
    <xdr:to>
      <xdr:col>8</xdr:col>
      <xdr:colOff>1059179</xdr:colOff>
      <xdr:row>99</xdr:row>
      <xdr:rowOff>223045</xdr:rowOff>
    </xdr:to>
    <xdr:pic>
      <xdr:nvPicPr>
        <xdr:cNvPr id="12" name="Image 1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81187" y="23145750"/>
          <a:ext cx="5297805" cy="3902075"/>
        </a:xfrm>
        <a:prstGeom prst="rect">
          <a:avLst/>
        </a:prstGeom>
        <a:noFill/>
      </xdr:spPr>
    </xdr:pic>
    <xdr:clientData/>
  </xdr:twoCellAnchor>
  <xdr:twoCellAnchor editAs="oneCell">
    <xdr:from>
      <xdr:col>1</xdr:col>
      <xdr:colOff>1476375</xdr:colOff>
      <xdr:row>63</xdr:row>
      <xdr:rowOff>11907</xdr:rowOff>
    </xdr:from>
    <xdr:to>
      <xdr:col>8</xdr:col>
      <xdr:colOff>1233403</xdr:colOff>
      <xdr:row>79</xdr:row>
      <xdr:rowOff>8435</xdr:rowOff>
    </xdr:to>
    <xdr:pic>
      <xdr:nvPicPr>
        <xdr:cNvPr id="9" name="Image 8"/>
        <xdr:cNvPicPr>
          <a:picLocks noChangeAspect="1"/>
        </xdr:cNvPicPr>
      </xdr:nvPicPr>
      <xdr:blipFill>
        <a:blip xmlns:r="http://schemas.openxmlformats.org/officeDocument/2006/relationships" r:embed="rId3"/>
        <a:stretch>
          <a:fillRect/>
        </a:stretch>
      </xdr:blipFill>
      <xdr:spPr>
        <a:xfrm>
          <a:off x="1738313" y="18454688"/>
          <a:ext cx="5614903" cy="390177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showGridLines="0" tabSelected="1" zoomScale="90" zoomScaleNormal="90" workbookViewId="0">
      <selection activeCell="U32" sqref="U32"/>
    </sheetView>
  </sheetViews>
  <sheetFormatPr baseColWidth="10" defaultColWidth="11.42578125" defaultRowHeight="18.75" x14ac:dyDescent="0.3"/>
  <cols>
    <col min="1" max="1" width="3.85546875" style="2" customWidth="1"/>
    <col min="2" max="2" width="23.28515625" style="2" customWidth="1"/>
    <col min="3" max="3" width="11.42578125" style="3" customWidth="1"/>
    <col min="4" max="4" width="22.7109375" style="2" customWidth="1"/>
    <col min="5" max="5" width="7.7109375" style="2" bestFit="1" customWidth="1"/>
    <col min="6" max="6" width="10.85546875" style="2" customWidth="1"/>
    <col min="7" max="7" width="11.140625" style="2" customWidth="1"/>
    <col min="8" max="8" width="0.85546875" style="2" customWidth="1"/>
    <col min="9" max="9" width="19" style="2" customWidth="1"/>
    <col min="10" max="10" width="28.7109375" style="2" customWidth="1"/>
    <col min="11" max="11" width="10.85546875" style="2" customWidth="1"/>
    <col min="12" max="12" width="9.140625" style="2" customWidth="1"/>
    <col min="13" max="13" width="0.85546875" style="2" customWidth="1"/>
    <col min="14" max="14" width="27.85546875" style="2" customWidth="1"/>
    <col min="15" max="15" width="24" style="2" customWidth="1"/>
    <col min="16" max="16" width="24.42578125" style="2" customWidth="1"/>
    <col min="17" max="17" width="15.7109375" style="2" customWidth="1"/>
    <col min="18" max="18" width="9.140625" style="2" customWidth="1"/>
    <col min="19" max="16384" width="11.42578125" style="2"/>
  </cols>
  <sheetData>
    <row r="1" spans="1:18" x14ac:dyDescent="0.3">
      <c r="A1" s="1"/>
      <c r="B1" s="1"/>
    </row>
    <row r="2" spans="1:18" x14ac:dyDescent="0.3">
      <c r="A2" s="1"/>
      <c r="B2" s="4" t="s">
        <v>252</v>
      </c>
    </row>
    <row r="3" spans="1:18" x14ac:dyDescent="0.3">
      <c r="A3" s="1"/>
      <c r="B3" s="4"/>
    </row>
    <row r="4" spans="1:18" ht="16.5" customHeight="1" x14ac:dyDescent="0.3">
      <c r="A4" s="1"/>
      <c r="B4" s="228" t="s">
        <v>247</v>
      </c>
      <c r="C4" s="228"/>
      <c r="D4" s="228"/>
      <c r="E4" s="228"/>
      <c r="F4" s="228"/>
      <c r="G4" s="228"/>
      <c r="H4" s="228"/>
      <c r="I4" s="228"/>
      <c r="J4" s="228"/>
      <c r="K4" s="228"/>
      <c r="L4" s="228"/>
      <c r="M4" s="228"/>
      <c r="N4" s="228"/>
      <c r="O4" s="228"/>
      <c r="P4" s="228"/>
    </row>
    <row r="5" spans="1:18" x14ac:dyDescent="0.3">
      <c r="A5" s="1"/>
      <c r="B5" s="228"/>
      <c r="C5" s="228"/>
      <c r="D5" s="228"/>
      <c r="E5" s="228"/>
      <c r="F5" s="228"/>
      <c r="G5" s="228"/>
      <c r="H5" s="228"/>
      <c r="I5" s="228"/>
      <c r="J5" s="228"/>
      <c r="K5" s="228"/>
      <c r="L5" s="228"/>
      <c r="M5" s="228"/>
      <c r="N5" s="228"/>
      <c r="O5" s="228"/>
      <c r="P5" s="228"/>
    </row>
    <row r="6" spans="1:18" x14ac:dyDescent="0.3">
      <c r="A6" s="1"/>
      <c r="B6" s="4"/>
    </row>
    <row r="7" spans="1:18" ht="34.5" customHeight="1" x14ac:dyDescent="0.3">
      <c r="A7" s="1"/>
      <c r="B7" s="5"/>
      <c r="C7" s="229" t="s">
        <v>137</v>
      </c>
      <c r="D7" s="229"/>
      <c r="E7" s="229"/>
      <c r="F7" s="229"/>
      <c r="G7" s="229"/>
      <c r="H7" s="229"/>
      <c r="I7" s="229"/>
      <c r="J7" s="229"/>
      <c r="K7" s="229"/>
      <c r="L7" s="229"/>
      <c r="M7" s="229"/>
      <c r="N7" s="229"/>
      <c r="O7" s="123"/>
    </row>
    <row r="8" spans="1:18" ht="11.25" customHeight="1" x14ac:dyDescent="0.3">
      <c r="A8" s="1"/>
      <c r="B8" s="5"/>
      <c r="C8" s="123"/>
      <c r="D8" s="123"/>
      <c r="E8" s="123"/>
      <c r="F8" s="123"/>
      <c r="G8" s="123"/>
      <c r="H8" s="123"/>
      <c r="I8" s="123"/>
      <c r="J8" s="123"/>
    </row>
    <row r="9" spans="1:18" ht="69" customHeight="1" x14ac:dyDescent="0.3">
      <c r="A9" s="1"/>
      <c r="B9" s="5"/>
      <c r="C9" s="229" t="s">
        <v>248</v>
      </c>
      <c r="D9" s="229"/>
      <c r="E9" s="229"/>
      <c r="F9" s="229"/>
      <c r="G9" s="229"/>
      <c r="H9" s="229"/>
      <c r="I9" s="229"/>
      <c r="J9" s="229"/>
      <c r="K9" s="229"/>
      <c r="L9" s="229"/>
      <c r="M9" s="229"/>
      <c r="N9" s="229"/>
      <c r="O9" s="123"/>
    </row>
    <row r="10" spans="1:18" ht="27" hidden="1" customHeight="1" x14ac:dyDescent="0.3">
      <c r="A10" s="1"/>
      <c r="B10" s="5"/>
      <c r="C10" s="229"/>
      <c r="D10" s="229"/>
      <c r="E10" s="229"/>
      <c r="F10" s="229"/>
      <c r="G10" s="229"/>
      <c r="H10" s="229"/>
      <c r="I10" s="229"/>
      <c r="J10" s="229"/>
      <c r="K10" s="229"/>
      <c r="L10" s="229"/>
      <c r="M10" s="229"/>
      <c r="N10" s="229"/>
      <c r="O10" s="229"/>
      <c r="P10" s="229"/>
      <c r="Q10" s="229"/>
      <c r="R10" s="46"/>
    </row>
    <row r="11" spans="1:18" ht="18.75" hidden="1" customHeight="1" x14ac:dyDescent="0.3">
      <c r="A11" s="1"/>
      <c r="B11" s="5"/>
      <c r="C11" s="229"/>
      <c r="D11" s="229"/>
      <c r="E11" s="229"/>
      <c r="F11" s="229"/>
      <c r="G11" s="229"/>
      <c r="H11" s="229"/>
      <c r="I11" s="229"/>
      <c r="J11" s="229"/>
      <c r="K11" s="229"/>
      <c r="L11" s="229"/>
      <c r="M11" s="229"/>
      <c r="N11" s="229"/>
      <c r="O11" s="229"/>
      <c r="P11" s="229"/>
    </row>
    <row r="12" spans="1:18" ht="12" customHeight="1" x14ac:dyDescent="0.3">
      <c r="A12" s="1"/>
      <c r="B12" s="5"/>
      <c r="C12" s="123"/>
      <c r="D12" s="123"/>
      <c r="E12" s="123"/>
      <c r="F12" s="123"/>
      <c r="G12" s="123"/>
      <c r="H12" s="123"/>
      <c r="I12" s="123"/>
      <c r="J12" s="123"/>
      <c r="K12" s="123"/>
      <c r="L12" s="123"/>
      <c r="M12" s="123"/>
      <c r="N12" s="123"/>
      <c r="O12" s="123"/>
      <c r="P12" s="123"/>
    </row>
    <row r="13" spans="1:18" ht="18.75" customHeight="1" x14ac:dyDescent="0.3">
      <c r="A13" s="1"/>
      <c r="B13" s="5"/>
      <c r="C13" s="229" t="s">
        <v>138</v>
      </c>
      <c r="D13" s="229"/>
      <c r="E13" s="229"/>
      <c r="F13" s="229"/>
      <c r="G13" s="229"/>
      <c r="H13" s="229"/>
      <c r="I13" s="229"/>
      <c r="J13" s="229"/>
      <c r="K13" s="229"/>
      <c r="L13" s="229"/>
      <c r="M13" s="229"/>
      <c r="N13" s="229"/>
      <c r="O13" s="123"/>
    </row>
    <row r="14" spans="1:18" ht="3.75" customHeight="1" x14ac:dyDescent="0.3">
      <c r="A14" s="1"/>
      <c r="B14" s="5"/>
      <c r="C14" s="229"/>
      <c r="D14" s="229"/>
      <c r="E14" s="229"/>
      <c r="F14" s="229"/>
      <c r="G14" s="229"/>
      <c r="H14" s="229"/>
      <c r="I14" s="229"/>
      <c r="J14" s="229"/>
      <c r="K14" s="229"/>
      <c r="L14" s="229"/>
      <c r="M14" s="229"/>
      <c r="N14" s="229"/>
      <c r="O14" s="229"/>
      <c r="P14" s="229"/>
      <c r="Q14" s="229"/>
    </row>
    <row r="15" spans="1:18" ht="3.75" customHeight="1" x14ac:dyDescent="0.3">
      <c r="A15" s="1"/>
      <c r="B15" s="4"/>
      <c r="C15" s="229"/>
      <c r="D15" s="229"/>
      <c r="E15" s="229"/>
      <c r="F15" s="229"/>
      <c r="G15" s="229"/>
      <c r="H15" s="229"/>
      <c r="I15" s="229"/>
      <c r="J15" s="229"/>
      <c r="K15" s="229"/>
      <c r="L15" s="229"/>
      <c r="M15" s="229"/>
      <c r="N15" s="229"/>
      <c r="O15" s="229"/>
      <c r="P15" s="229"/>
    </row>
    <row r="16" spans="1:18" ht="3.75" customHeight="1" x14ac:dyDescent="0.3">
      <c r="A16" s="1"/>
      <c r="B16" s="4"/>
      <c r="C16" s="123"/>
      <c r="D16" s="123"/>
      <c r="E16" s="123"/>
      <c r="F16" s="123"/>
      <c r="G16" s="123"/>
      <c r="H16" s="123"/>
      <c r="I16" s="123"/>
      <c r="J16" s="123"/>
      <c r="K16" s="123"/>
      <c r="L16" s="123"/>
      <c r="M16" s="123"/>
      <c r="N16" s="123"/>
      <c r="O16" s="123"/>
      <c r="P16" s="123"/>
    </row>
    <row r="17" spans="1:19" ht="33" customHeight="1" x14ac:dyDescent="0.3">
      <c r="A17" s="1"/>
      <c r="B17" s="4"/>
      <c r="C17" s="229" t="s">
        <v>139</v>
      </c>
      <c r="D17" s="229"/>
      <c r="E17" s="229"/>
      <c r="F17" s="229"/>
      <c r="G17" s="229"/>
      <c r="H17" s="229"/>
      <c r="I17" s="229"/>
      <c r="J17" s="229"/>
      <c r="K17" s="229"/>
      <c r="L17" s="229"/>
      <c r="M17" s="229"/>
      <c r="N17" s="229"/>
      <c r="O17" s="123"/>
    </row>
    <row r="18" spans="1:19" ht="6" customHeight="1" x14ac:dyDescent="0.3">
      <c r="A18" s="1"/>
      <c r="B18" s="4"/>
      <c r="C18" s="229"/>
      <c r="D18" s="229"/>
      <c r="E18" s="229"/>
      <c r="F18" s="229"/>
      <c r="G18" s="229"/>
      <c r="H18" s="229"/>
      <c r="I18" s="229"/>
      <c r="J18" s="229"/>
      <c r="K18" s="229"/>
      <c r="L18" s="229"/>
      <c r="M18" s="229"/>
      <c r="N18" s="229"/>
      <c r="O18" s="229"/>
      <c r="P18" s="229"/>
      <c r="Q18" s="229"/>
    </row>
    <row r="19" spans="1:19" ht="6" customHeight="1" x14ac:dyDescent="0.3">
      <c r="A19" s="1"/>
      <c r="B19" s="4"/>
      <c r="C19" s="229"/>
      <c r="D19" s="229"/>
      <c r="E19" s="229"/>
      <c r="F19" s="229"/>
      <c r="G19" s="229"/>
      <c r="H19" s="229"/>
      <c r="I19" s="229"/>
      <c r="J19" s="229"/>
      <c r="K19" s="229"/>
      <c r="L19" s="229"/>
      <c r="M19" s="229"/>
      <c r="N19" s="229"/>
      <c r="O19" s="229"/>
      <c r="P19" s="229"/>
    </row>
    <row r="20" spans="1:19" x14ac:dyDescent="0.3">
      <c r="A20" s="1"/>
      <c r="B20" s="4"/>
    </row>
    <row r="21" spans="1:19" x14ac:dyDescent="0.3">
      <c r="B21" s="226" t="s">
        <v>140</v>
      </c>
      <c r="C21" s="226"/>
      <c r="D21" s="226"/>
      <c r="E21" s="226"/>
      <c r="F21" s="226"/>
      <c r="G21" s="226"/>
      <c r="H21" s="226"/>
      <c r="I21" s="226"/>
      <c r="J21" s="226"/>
      <c r="K21" s="226"/>
      <c r="L21" s="226"/>
      <c r="M21" s="226"/>
      <c r="N21" s="226"/>
      <c r="O21" s="226"/>
      <c r="P21" s="226"/>
      <c r="Q21" s="226"/>
      <c r="R21" s="226"/>
      <c r="S21" s="46"/>
    </row>
    <row r="22" spans="1:19" x14ac:dyDescent="0.3">
      <c r="B22" s="227"/>
      <c r="C22" s="227"/>
      <c r="D22" s="227"/>
      <c r="E22" s="227"/>
      <c r="F22" s="227"/>
      <c r="G22" s="227"/>
      <c r="H22" s="227"/>
      <c r="I22" s="227"/>
      <c r="J22" s="227"/>
      <c r="K22" s="227"/>
      <c r="L22" s="227"/>
      <c r="M22" s="227"/>
      <c r="N22" s="227"/>
      <c r="O22" s="227"/>
      <c r="P22" s="227"/>
      <c r="Q22" s="227"/>
      <c r="R22" s="227"/>
    </row>
    <row r="23" spans="1:19" s="7" customFormat="1" ht="25.5" customHeight="1" x14ac:dyDescent="0.25">
      <c r="B23" s="230" t="s">
        <v>179</v>
      </c>
      <c r="C23" s="231"/>
      <c r="D23" s="231"/>
      <c r="E23" s="231"/>
      <c r="F23" s="231"/>
      <c r="G23" s="231"/>
      <c r="H23" s="231"/>
      <c r="I23" s="231"/>
      <c r="J23" s="231"/>
      <c r="K23" s="231"/>
      <c r="L23" s="231"/>
      <c r="M23" s="231"/>
      <c r="N23" s="231"/>
      <c r="O23" s="231"/>
      <c r="P23" s="231"/>
      <c r="Q23" s="231"/>
      <c r="R23" s="232"/>
    </row>
    <row r="24" spans="1:19" s="7" customFormat="1" ht="15.75" x14ac:dyDescent="0.25">
      <c r="B24" s="233" t="s">
        <v>0</v>
      </c>
      <c r="C24" s="234"/>
      <c r="D24" s="234"/>
      <c r="E24" s="234"/>
      <c r="F24" s="234"/>
      <c r="G24" s="235"/>
      <c r="H24" s="236"/>
      <c r="I24" s="233" t="s">
        <v>1</v>
      </c>
      <c r="J24" s="234"/>
      <c r="K24" s="234"/>
      <c r="L24" s="235"/>
      <c r="M24" s="236"/>
      <c r="N24" s="233" t="s">
        <v>2</v>
      </c>
      <c r="O24" s="234"/>
      <c r="P24" s="234"/>
      <c r="Q24" s="234"/>
      <c r="R24" s="235"/>
    </row>
    <row r="25" spans="1:19" s="7" customFormat="1" ht="15.75" x14ac:dyDescent="0.25">
      <c r="B25" s="8" t="s">
        <v>3</v>
      </c>
      <c r="C25" s="9" t="s">
        <v>4</v>
      </c>
      <c r="D25" s="9" t="s">
        <v>5</v>
      </c>
      <c r="E25" s="9" t="s">
        <v>6</v>
      </c>
      <c r="F25" s="9" t="s">
        <v>7</v>
      </c>
      <c r="G25" s="9" t="s">
        <v>251</v>
      </c>
      <c r="H25" s="237"/>
      <c r="I25" s="8" t="s">
        <v>3</v>
      </c>
      <c r="J25" s="9" t="s">
        <v>249</v>
      </c>
      <c r="K25" s="9" t="s">
        <v>7</v>
      </c>
      <c r="L25" s="10" t="s">
        <v>250</v>
      </c>
      <c r="M25" s="237"/>
      <c r="N25" s="8" t="s">
        <v>3</v>
      </c>
      <c r="O25" s="9" t="s">
        <v>6</v>
      </c>
      <c r="P25" s="9" t="s">
        <v>5</v>
      </c>
      <c r="Q25" s="9" t="s">
        <v>7</v>
      </c>
      <c r="R25" s="10" t="s">
        <v>251</v>
      </c>
    </row>
    <row r="26" spans="1:19" s="7" customFormat="1" ht="28.5" customHeight="1" x14ac:dyDescent="0.25">
      <c r="B26" s="129" t="s">
        <v>180</v>
      </c>
      <c r="C26" s="165" t="s">
        <v>14</v>
      </c>
      <c r="D26" s="220" t="s">
        <v>187</v>
      </c>
      <c r="E26" s="166" t="s">
        <v>190</v>
      </c>
      <c r="F26" s="221">
        <f ca="1">_xll.RiskUniform(0,5)</f>
        <v>2.5</v>
      </c>
      <c r="G26" s="170" t="s">
        <v>197</v>
      </c>
      <c r="H26" s="237"/>
      <c r="I26" s="129" t="s">
        <v>199</v>
      </c>
      <c r="J26" s="126" t="s">
        <v>202</v>
      </c>
      <c r="K26" s="187">
        <f ca="1">10^F26*F27/100*F32*10^3</f>
        <v>316227766.01683825</v>
      </c>
      <c r="L26" s="170" t="s">
        <v>205</v>
      </c>
      <c r="M26" s="237"/>
      <c r="N26" s="129" t="s">
        <v>206</v>
      </c>
      <c r="O26" s="148" t="s">
        <v>212</v>
      </c>
      <c r="P26" s="165" t="s">
        <v>209</v>
      </c>
      <c r="Q26" s="187">
        <f ca="1">K26+K27+K28</f>
        <v>496227766.01681304</v>
      </c>
      <c r="R26" s="167" t="s">
        <v>15</v>
      </c>
    </row>
    <row r="27" spans="1:19" s="7" customFormat="1" ht="45" customHeight="1" x14ac:dyDescent="0.25">
      <c r="B27" s="171" t="s">
        <v>181</v>
      </c>
      <c r="C27" s="165" t="s">
        <v>8</v>
      </c>
      <c r="D27" s="222" t="s">
        <v>9</v>
      </c>
      <c r="E27" s="166" t="s">
        <v>191</v>
      </c>
      <c r="F27" s="223">
        <v>10</v>
      </c>
      <c r="G27" s="170" t="s">
        <v>198</v>
      </c>
      <c r="H27" s="237"/>
      <c r="I27" s="129" t="s">
        <v>200</v>
      </c>
      <c r="J27" s="126" t="s">
        <v>203</v>
      </c>
      <c r="K27" s="187">
        <f ca="1">10^F28*F29/100*F32*10^3</f>
        <v>80000000</v>
      </c>
      <c r="L27" s="170" t="s">
        <v>205</v>
      </c>
      <c r="M27" s="237"/>
      <c r="N27" s="239" t="s">
        <v>207</v>
      </c>
      <c r="O27" s="148" t="s">
        <v>213</v>
      </c>
      <c r="P27" s="165" t="s">
        <v>210</v>
      </c>
      <c r="Q27" s="187">
        <f ca="1">Q26/(F32*10^3)</f>
        <v>49.622776601681302</v>
      </c>
      <c r="R27" s="170" t="s">
        <v>54</v>
      </c>
    </row>
    <row r="28" spans="1:19" s="125" customFormat="1" ht="36" customHeight="1" x14ac:dyDescent="0.25">
      <c r="B28" s="128" t="s">
        <v>182</v>
      </c>
      <c r="C28" s="165" t="s">
        <v>14</v>
      </c>
      <c r="D28" s="220" t="s">
        <v>188</v>
      </c>
      <c r="E28" s="166" t="s">
        <v>192</v>
      </c>
      <c r="F28" s="224">
        <f ca="1">_xll.RiskLognorm(1,1)</f>
        <v>1</v>
      </c>
      <c r="G28" s="170" t="s">
        <v>197</v>
      </c>
      <c r="H28" s="237"/>
      <c r="I28" s="129" t="s">
        <v>201</v>
      </c>
      <c r="J28" s="126" t="s">
        <v>204</v>
      </c>
      <c r="K28" s="187">
        <f ca="1">10^F30*F31/100*F32*10^3</f>
        <v>99999999.999974802</v>
      </c>
      <c r="L28" s="170" t="s">
        <v>205</v>
      </c>
      <c r="M28" s="237"/>
      <c r="N28" s="239"/>
      <c r="O28" s="146"/>
      <c r="P28" s="165" t="s">
        <v>57</v>
      </c>
      <c r="Q28" s="188">
        <f ca="1">IF(Q27=0,-10,LOG(Q27))</f>
        <v>1.6956810612068769</v>
      </c>
      <c r="R28" s="167" t="s">
        <v>58</v>
      </c>
    </row>
    <row r="29" spans="1:19" s="7" customFormat="1" ht="30" x14ac:dyDescent="0.25">
      <c r="B29" s="171" t="s">
        <v>183</v>
      </c>
      <c r="C29" s="165" t="s">
        <v>8</v>
      </c>
      <c r="D29" s="222" t="s">
        <v>9</v>
      </c>
      <c r="E29" s="166" t="s">
        <v>193</v>
      </c>
      <c r="F29" s="223">
        <v>80</v>
      </c>
      <c r="G29" s="170" t="s">
        <v>198</v>
      </c>
      <c r="H29" s="237"/>
      <c r="I29" s="8"/>
      <c r="J29" s="9"/>
      <c r="K29" s="9"/>
      <c r="L29" s="10"/>
      <c r="M29" s="237"/>
      <c r="N29" s="131" t="s">
        <v>208</v>
      </c>
      <c r="O29" s="148" t="s">
        <v>214</v>
      </c>
      <c r="P29" s="165" t="s">
        <v>211</v>
      </c>
      <c r="Q29" s="189">
        <f ca="1">1-_xll.RiskTarget(Q26,0)</f>
        <v>1</v>
      </c>
      <c r="R29" s="170" t="s">
        <v>215</v>
      </c>
    </row>
    <row r="30" spans="1:19" s="7" customFormat="1" ht="36" customHeight="1" x14ac:dyDescent="0.25">
      <c r="B30" s="129" t="s">
        <v>184</v>
      </c>
      <c r="C30" s="165" t="s">
        <v>14</v>
      </c>
      <c r="D30" s="220" t="s">
        <v>189</v>
      </c>
      <c r="E30" s="166" t="s">
        <v>194</v>
      </c>
      <c r="F30" s="221">
        <f ca="1">_xll.RiskPertAlt(5%,4,"m. likely",5,95%,6)</f>
        <v>4.9999999999998899</v>
      </c>
      <c r="G30" s="170" t="s">
        <v>197</v>
      </c>
      <c r="H30" s="237"/>
      <c r="I30" s="8"/>
      <c r="J30" s="9"/>
      <c r="K30" s="9"/>
      <c r="L30" s="10"/>
      <c r="M30" s="237"/>
      <c r="N30" s="21"/>
      <c r="O30" s="26"/>
      <c r="P30" s="26"/>
      <c r="Q30" s="67"/>
      <c r="R30" s="22"/>
    </row>
    <row r="31" spans="1:19" s="7" customFormat="1" ht="15.75" x14ac:dyDescent="0.25">
      <c r="B31" s="171" t="s">
        <v>185</v>
      </c>
      <c r="C31" s="166" t="s">
        <v>8</v>
      </c>
      <c r="D31" s="165" t="s">
        <v>9</v>
      </c>
      <c r="E31" s="165" t="s">
        <v>195</v>
      </c>
      <c r="F31" s="172">
        <v>0.01</v>
      </c>
      <c r="G31" s="167" t="s">
        <v>198</v>
      </c>
      <c r="H31" s="237"/>
      <c r="I31" s="8"/>
      <c r="J31" s="9"/>
      <c r="K31" s="9"/>
      <c r="L31" s="10"/>
      <c r="M31" s="237"/>
      <c r="N31" s="8"/>
      <c r="O31" s="9"/>
      <c r="P31" s="9"/>
      <c r="Q31" s="9"/>
      <c r="R31" s="10"/>
    </row>
    <row r="32" spans="1:19" s="7" customFormat="1" ht="32.25" customHeight="1" x14ac:dyDescent="0.25">
      <c r="B32" s="130" t="s">
        <v>186</v>
      </c>
      <c r="C32" s="173" t="s">
        <v>8</v>
      </c>
      <c r="D32" s="174" t="s">
        <v>9</v>
      </c>
      <c r="E32" s="175" t="s">
        <v>196</v>
      </c>
      <c r="F32" s="176">
        <v>10000</v>
      </c>
      <c r="G32" s="177" t="s">
        <v>10</v>
      </c>
      <c r="H32" s="238"/>
      <c r="I32" s="19"/>
      <c r="J32" s="12"/>
      <c r="K32" s="18"/>
      <c r="L32" s="20"/>
      <c r="M32" s="238"/>
      <c r="P32" s="12"/>
      <c r="R32" s="36"/>
    </row>
    <row r="33" spans="2:18" s="7" customFormat="1" ht="25.5" customHeight="1" x14ac:dyDescent="0.25">
      <c r="B33" s="230" t="s">
        <v>244</v>
      </c>
      <c r="C33" s="231"/>
      <c r="D33" s="231"/>
      <c r="E33" s="231"/>
      <c r="F33" s="231"/>
      <c r="G33" s="231"/>
      <c r="H33" s="231"/>
      <c r="I33" s="231"/>
      <c r="J33" s="231"/>
      <c r="K33" s="231"/>
      <c r="L33" s="231"/>
      <c r="M33" s="231"/>
      <c r="N33" s="231"/>
      <c r="O33" s="231"/>
      <c r="P33" s="231"/>
      <c r="Q33" s="231"/>
      <c r="R33" s="232"/>
    </row>
    <row r="34" spans="2:18" s="7" customFormat="1" ht="15.75" x14ac:dyDescent="0.25">
      <c r="B34" s="233" t="s">
        <v>0</v>
      </c>
      <c r="C34" s="234"/>
      <c r="D34" s="234"/>
      <c r="E34" s="234"/>
      <c r="F34" s="234"/>
      <c r="G34" s="235"/>
      <c r="H34" s="236"/>
      <c r="I34" s="233" t="s">
        <v>1</v>
      </c>
      <c r="J34" s="234"/>
      <c r="K34" s="234"/>
      <c r="L34" s="235"/>
      <c r="M34" s="236"/>
      <c r="N34" s="233" t="s">
        <v>2</v>
      </c>
      <c r="O34" s="234"/>
      <c r="P34" s="234"/>
      <c r="Q34" s="234"/>
      <c r="R34" s="235"/>
    </row>
    <row r="35" spans="2:18" s="7" customFormat="1" ht="15.75" x14ac:dyDescent="0.25">
      <c r="B35" s="8" t="s">
        <v>3</v>
      </c>
      <c r="C35" s="9" t="s">
        <v>4</v>
      </c>
      <c r="D35" s="9" t="s">
        <v>5</v>
      </c>
      <c r="E35" s="9" t="s">
        <v>6</v>
      </c>
      <c r="F35" s="9" t="s">
        <v>7</v>
      </c>
      <c r="G35" s="9" t="s">
        <v>251</v>
      </c>
      <c r="H35" s="237"/>
      <c r="I35" s="8" t="s">
        <v>3</v>
      </c>
      <c r="J35" s="9" t="s">
        <v>249</v>
      </c>
      <c r="K35" s="9" t="s">
        <v>7</v>
      </c>
      <c r="L35" s="10" t="s">
        <v>250</v>
      </c>
      <c r="M35" s="237"/>
      <c r="N35" s="8" t="s">
        <v>3</v>
      </c>
      <c r="O35" s="9" t="s">
        <v>6</v>
      </c>
      <c r="P35" s="9" t="s">
        <v>5</v>
      </c>
      <c r="Q35" s="9" t="s">
        <v>7</v>
      </c>
      <c r="R35" s="10" t="s">
        <v>251</v>
      </c>
    </row>
    <row r="36" spans="2:18" s="7" customFormat="1" ht="30" x14ac:dyDescent="0.25">
      <c r="B36" s="16" t="s">
        <v>11</v>
      </c>
      <c r="C36" s="12" t="s">
        <v>8</v>
      </c>
      <c r="D36" s="12" t="s">
        <v>9</v>
      </c>
      <c r="E36" s="13" t="s">
        <v>30</v>
      </c>
      <c r="F36" s="17">
        <v>250</v>
      </c>
      <c r="G36" s="18" t="s">
        <v>12</v>
      </c>
      <c r="H36" s="237"/>
      <c r="I36" s="169" t="s">
        <v>216</v>
      </c>
      <c r="J36" s="165" t="s">
        <v>217</v>
      </c>
      <c r="K36" s="168">
        <f>F32*10^3/F36</f>
        <v>40000</v>
      </c>
      <c r="L36" s="178" t="s">
        <v>9</v>
      </c>
      <c r="M36" s="237"/>
      <c r="N36" s="131" t="s">
        <v>13</v>
      </c>
      <c r="O36" s="26" t="s">
        <v>222</v>
      </c>
      <c r="P36" s="165" t="s">
        <v>219</v>
      </c>
      <c r="Q36" s="156">
        <f ca="1">_xll.RiskPoisson(Q26/K36)</f>
        <v>12406</v>
      </c>
      <c r="R36" s="167" t="s">
        <v>15</v>
      </c>
    </row>
    <row r="37" spans="2:18" s="7" customFormat="1" ht="16.5" x14ac:dyDescent="0.25">
      <c r="B37" s="16"/>
      <c r="C37" s="12"/>
      <c r="D37" s="12"/>
      <c r="E37" s="13"/>
      <c r="F37" s="14"/>
      <c r="G37" s="15"/>
      <c r="H37" s="237"/>
      <c r="I37" s="8"/>
      <c r="J37" s="9"/>
      <c r="K37" s="9"/>
      <c r="L37" s="10"/>
      <c r="M37" s="237"/>
      <c r="N37" s="239" t="s">
        <v>218</v>
      </c>
      <c r="O37" s="12" t="s">
        <v>223</v>
      </c>
      <c r="P37" s="165" t="s">
        <v>220</v>
      </c>
      <c r="Q37" s="187">
        <f ca="1">Q36/F36</f>
        <v>49.624000000000002</v>
      </c>
      <c r="R37" s="170" t="s">
        <v>54</v>
      </c>
    </row>
    <row r="38" spans="2:18" s="7" customFormat="1" ht="36" customHeight="1" x14ac:dyDescent="0.25">
      <c r="B38" s="16"/>
      <c r="C38" s="12"/>
      <c r="D38" s="12"/>
      <c r="E38" s="13"/>
      <c r="F38" s="14"/>
      <c r="G38" s="15"/>
      <c r="H38" s="237"/>
      <c r="I38" s="8"/>
      <c r="J38" s="9"/>
      <c r="K38" s="9"/>
      <c r="L38" s="10"/>
      <c r="M38" s="237"/>
      <c r="N38" s="239"/>
      <c r="O38" s="12"/>
      <c r="P38" s="165" t="s">
        <v>57</v>
      </c>
      <c r="Q38" s="225">
        <f ca="1">IF(Q37=0,-10,LOG(Q37))</f>
        <v>1.6956917681569101</v>
      </c>
      <c r="R38" s="167" t="s">
        <v>58</v>
      </c>
    </row>
    <row r="39" spans="2:18" s="7" customFormat="1" ht="36.75" customHeight="1" x14ac:dyDescent="0.25">
      <c r="B39" s="16"/>
      <c r="C39" s="12"/>
      <c r="D39" s="12"/>
      <c r="E39" s="13"/>
      <c r="F39" s="17"/>
      <c r="G39" s="18"/>
      <c r="H39" s="238"/>
      <c r="I39" s="19"/>
      <c r="J39" s="12"/>
      <c r="K39" s="18"/>
      <c r="L39" s="20"/>
      <c r="M39" s="238"/>
      <c r="N39" s="130" t="s">
        <v>27</v>
      </c>
      <c r="O39" s="219" t="s">
        <v>224</v>
      </c>
      <c r="P39" s="174" t="s">
        <v>221</v>
      </c>
      <c r="Q39" s="189">
        <f ca="1">1-_xll.RiskTarget(Q36,0)</f>
        <v>1</v>
      </c>
      <c r="R39" s="177" t="s">
        <v>215</v>
      </c>
    </row>
    <row r="40" spans="2:18" s="7" customFormat="1" ht="25.5" customHeight="1" x14ac:dyDescent="0.25">
      <c r="B40" s="243" t="s">
        <v>245</v>
      </c>
      <c r="C40" s="244"/>
      <c r="D40" s="244"/>
      <c r="E40" s="244"/>
      <c r="F40" s="244"/>
      <c r="G40" s="244"/>
      <c r="H40" s="244"/>
      <c r="I40" s="244"/>
      <c r="J40" s="244"/>
      <c r="K40" s="244"/>
      <c r="L40" s="244"/>
      <c r="M40" s="244"/>
      <c r="N40" s="244"/>
      <c r="O40" s="244"/>
      <c r="P40" s="244"/>
      <c r="Q40" s="244"/>
      <c r="R40" s="245"/>
    </row>
    <row r="41" spans="2:18" s="7" customFormat="1" ht="15.75" x14ac:dyDescent="0.25">
      <c r="B41" s="233" t="s">
        <v>0</v>
      </c>
      <c r="C41" s="234"/>
      <c r="D41" s="234"/>
      <c r="E41" s="234"/>
      <c r="F41" s="234"/>
      <c r="G41" s="235"/>
      <c r="H41" s="236"/>
      <c r="I41" s="233" t="s">
        <v>1</v>
      </c>
      <c r="J41" s="234"/>
      <c r="K41" s="234"/>
      <c r="L41" s="234"/>
      <c r="M41" s="39"/>
      <c r="N41" s="240" t="s">
        <v>2</v>
      </c>
      <c r="O41" s="241"/>
      <c r="P41" s="241"/>
      <c r="Q41" s="241"/>
      <c r="R41" s="242"/>
    </row>
    <row r="42" spans="2:18" s="7" customFormat="1" ht="15.75" x14ac:dyDescent="0.25">
      <c r="B42" s="8" t="s">
        <v>3</v>
      </c>
      <c r="C42" s="9" t="s">
        <v>4</v>
      </c>
      <c r="D42" s="9" t="s">
        <v>5</v>
      </c>
      <c r="E42" s="9" t="s">
        <v>6</v>
      </c>
      <c r="F42" s="9" t="s">
        <v>7</v>
      </c>
      <c r="G42" s="9" t="s">
        <v>251</v>
      </c>
      <c r="H42" s="237"/>
      <c r="I42" s="8" t="s">
        <v>3</v>
      </c>
      <c r="J42" s="9" t="s">
        <v>249</v>
      </c>
      <c r="K42" s="9" t="s">
        <v>7</v>
      </c>
      <c r="L42" s="10" t="s">
        <v>250</v>
      </c>
      <c r="M42" s="40"/>
      <c r="N42" s="8" t="s">
        <v>3</v>
      </c>
      <c r="O42" s="9" t="s">
        <v>6</v>
      </c>
      <c r="P42" s="9" t="s">
        <v>5</v>
      </c>
      <c r="Q42" s="9" t="s">
        <v>7</v>
      </c>
      <c r="R42" s="10" t="s">
        <v>251</v>
      </c>
    </row>
    <row r="43" spans="2:18" s="7" customFormat="1" ht="25.5" x14ac:dyDescent="0.25">
      <c r="B43" s="11" t="s">
        <v>16</v>
      </c>
      <c r="C43" s="12" t="s">
        <v>8</v>
      </c>
      <c r="D43" s="12" t="s">
        <v>9</v>
      </c>
      <c r="E43" s="12" t="s">
        <v>31</v>
      </c>
      <c r="F43" s="24">
        <v>10</v>
      </c>
      <c r="G43" s="22" t="s">
        <v>17</v>
      </c>
      <c r="H43" s="237"/>
      <c r="I43" s="25" t="s">
        <v>38</v>
      </c>
      <c r="J43" s="26" t="s">
        <v>159</v>
      </c>
      <c r="K43" s="53">
        <f ca="1">LOG(F44)-(F45-F46)/F47+F48</f>
        <v>5.2418280198087808E-2</v>
      </c>
      <c r="L43" s="12" t="s">
        <v>9</v>
      </c>
      <c r="M43" s="30"/>
      <c r="N43" s="21" t="s">
        <v>19</v>
      </c>
      <c r="O43" s="26" t="s">
        <v>35</v>
      </c>
      <c r="P43" s="26" t="s">
        <v>36</v>
      </c>
      <c r="Q43" s="67">
        <f ca="1">_xll.RiskOutput("[N4]pu")+_xll.RiskPoisson(Q36*10^-K45)</f>
        <v>0</v>
      </c>
      <c r="R43" s="22" t="s">
        <v>15</v>
      </c>
    </row>
    <row r="44" spans="2:18" s="7" customFormat="1" ht="25.5" x14ac:dyDescent="0.25">
      <c r="B44" s="16" t="s">
        <v>20</v>
      </c>
      <c r="C44" s="12" t="s">
        <v>14</v>
      </c>
      <c r="D44" s="26" t="s">
        <v>175</v>
      </c>
      <c r="E44" s="26" t="s">
        <v>21</v>
      </c>
      <c r="F44" s="99">
        <f ca="1">_xll.RiskLognorm(5,10)</f>
        <v>5</v>
      </c>
      <c r="G44" s="22" t="s">
        <v>17</v>
      </c>
      <c r="H44" s="237"/>
      <c r="I44" s="25"/>
      <c r="J44" s="23" t="s">
        <v>22</v>
      </c>
      <c r="K44" s="64">
        <f ca="1">10^K43</f>
        <v>1.1282836120379263</v>
      </c>
      <c r="L44" s="12" t="s">
        <v>17</v>
      </c>
      <c r="M44" s="30"/>
      <c r="N44" s="21" t="s">
        <v>27</v>
      </c>
      <c r="O44" s="26" t="s">
        <v>34</v>
      </c>
      <c r="P44" s="26" t="s">
        <v>39</v>
      </c>
      <c r="Q44" s="68">
        <f ca="1">_xll.RiskOutput()+1-_xll.RiskTarget(Q43,0)</f>
        <v>0</v>
      </c>
      <c r="R44" s="22" t="s">
        <v>28</v>
      </c>
    </row>
    <row r="45" spans="2:18" s="7" customFormat="1" ht="42" customHeight="1" x14ac:dyDescent="0.25">
      <c r="B45" s="16" t="s">
        <v>23</v>
      </c>
      <c r="C45" s="23" t="s">
        <v>8</v>
      </c>
      <c r="D45" s="23" t="s">
        <v>9</v>
      </c>
      <c r="E45" s="23" t="s">
        <v>32</v>
      </c>
      <c r="F45" s="27">
        <v>96</v>
      </c>
      <c r="G45" s="22" t="s">
        <v>24</v>
      </c>
      <c r="H45" s="237"/>
      <c r="I45" s="25" t="s">
        <v>18</v>
      </c>
      <c r="J45" s="26" t="s">
        <v>37</v>
      </c>
      <c r="K45" s="53">
        <f ca="1">F43/K44</f>
        <v>8.863019805754174</v>
      </c>
      <c r="L45" s="88"/>
      <c r="M45" s="30"/>
      <c r="N45" s="21"/>
      <c r="O45" s="43"/>
      <c r="P45" s="15"/>
      <c r="Q45" s="89"/>
      <c r="R45" s="22"/>
    </row>
    <row r="46" spans="2:18" s="7" customFormat="1" ht="15.75" x14ac:dyDescent="0.25">
      <c r="B46" s="11" t="s">
        <v>25</v>
      </c>
      <c r="C46" s="23" t="s">
        <v>8</v>
      </c>
      <c r="D46" s="23" t="s">
        <v>9</v>
      </c>
      <c r="E46" s="23" t="s">
        <v>26</v>
      </c>
      <c r="F46" s="27">
        <v>90</v>
      </c>
      <c r="G46" s="22" t="s">
        <v>24</v>
      </c>
      <c r="H46" s="237"/>
      <c r="I46" s="90"/>
      <c r="J46" s="23"/>
      <c r="K46" s="23"/>
      <c r="L46" s="12"/>
      <c r="M46" s="30"/>
      <c r="N46" s="90"/>
      <c r="O46" s="88"/>
      <c r="P46" s="88"/>
      <c r="Q46" s="88"/>
      <c r="R46" s="91"/>
    </row>
    <row r="47" spans="2:18" s="7" customFormat="1" ht="15.75" x14ac:dyDescent="0.25">
      <c r="B47" s="11" t="s">
        <v>29</v>
      </c>
      <c r="C47" s="23" t="s">
        <v>8</v>
      </c>
      <c r="D47" s="23" t="s">
        <v>9</v>
      </c>
      <c r="E47" s="23" t="s">
        <v>33</v>
      </c>
      <c r="F47" s="27">
        <v>9.2799999999999994</v>
      </c>
      <c r="G47" s="22" t="s">
        <v>24</v>
      </c>
      <c r="H47" s="237"/>
      <c r="I47" s="19"/>
      <c r="J47" s="12"/>
      <c r="K47" s="29"/>
      <c r="L47" s="12"/>
      <c r="M47" s="30"/>
      <c r="N47" s="42"/>
      <c r="O47" s="15"/>
      <c r="P47" s="23"/>
      <c r="Q47" s="15"/>
      <c r="R47" s="22"/>
    </row>
    <row r="48" spans="2:18" s="7" customFormat="1" ht="27" customHeight="1" x14ac:dyDescent="0.25">
      <c r="B48" s="62" t="s">
        <v>78</v>
      </c>
      <c r="C48" s="31" t="s">
        <v>14</v>
      </c>
      <c r="D48" s="26" t="s">
        <v>129</v>
      </c>
      <c r="E48" s="26" t="s">
        <v>128</v>
      </c>
      <c r="F48" s="103">
        <f ca="1">_xll.RiskNormal(0,0.06)</f>
        <v>0</v>
      </c>
      <c r="G48" s="35" t="s">
        <v>9</v>
      </c>
      <c r="H48" s="238"/>
      <c r="I48" s="92"/>
      <c r="J48" s="93"/>
      <c r="K48" s="93"/>
      <c r="L48" s="31"/>
      <c r="M48" s="41"/>
      <c r="N48" s="34"/>
      <c r="O48" s="33"/>
      <c r="P48" s="32"/>
      <c r="Q48" s="33"/>
      <c r="R48" s="35"/>
    </row>
    <row r="49" spans="2:18" s="114" customFormat="1" ht="24.75" customHeight="1" x14ac:dyDescent="0.3">
      <c r="B49" s="246" t="s">
        <v>246</v>
      </c>
      <c r="C49" s="247"/>
      <c r="D49" s="247"/>
      <c r="E49" s="247"/>
      <c r="F49" s="247"/>
      <c r="G49" s="247"/>
      <c r="H49" s="247"/>
      <c r="I49" s="247"/>
      <c r="J49" s="247"/>
      <c r="K49" s="247"/>
      <c r="L49" s="247"/>
      <c r="M49" s="247"/>
      <c r="N49" s="247"/>
      <c r="O49" s="247"/>
      <c r="P49" s="247"/>
      <c r="Q49" s="247"/>
      <c r="R49" s="248"/>
    </row>
    <row r="50" spans="2:18" x14ac:dyDescent="0.3">
      <c r="B50" s="233" t="s">
        <v>0</v>
      </c>
      <c r="C50" s="234"/>
      <c r="D50" s="234"/>
      <c r="E50" s="234"/>
      <c r="F50" s="234"/>
      <c r="G50" s="235"/>
      <c r="H50" s="236"/>
      <c r="I50" s="233" t="s">
        <v>1</v>
      </c>
      <c r="J50" s="234"/>
      <c r="K50" s="234"/>
      <c r="L50" s="234"/>
      <c r="M50" s="39"/>
      <c r="N50" s="240" t="s">
        <v>2</v>
      </c>
      <c r="O50" s="241"/>
      <c r="P50" s="241"/>
      <c r="Q50" s="241"/>
      <c r="R50" s="242"/>
    </row>
    <row r="51" spans="2:18" x14ac:dyDescent="0.3">
      <c r="B51" s="8" t="s">
        <v>3</v>
      </c>
      <c r="C51" s="9" t="s">
        <v>4</v>
      </c>
      <c r="D51" s="9" t="s">
        <v>5</v>
      </c>
      <c r="E51" s="9" t="s">
        <v>6</v>
      </c>
      <c r="F51" s="9" t="s">
        <v>7</v>
      </c>
      <c r="G51" s="9" t="s">
        <v>251</v>
      </c>
      <c r="H51" s="237"/>
      <c r="I51" s="8" t="s">
        <v>3</v>
      </c>
      <c r="J51" s="9" t="s">
        <v>249</v>
      </c>
      <c r="K51" s="9" t="s">
        <v>7</v>
      </c>
      <c r="L51" s="10" t="s">
        <v>250</v>
      </c>
      <c r="M51" s="40"/>
      <c r="N51" s="8" t="s">
        <v>3</v>
      </c>
      <c r="O51" s="9" t="s">
        <v>6</v>
      </c>
      <c r="P51" s="9" t="s">
        <v>5</v>
      </c>
      <c r="Q51" s="9" t="s">
        <v>7</v>
      </c>
      <c r="R51" s="10" t="s">
        <v>251</v>
      </c>
    </row>
    <row r="52" spans="2:18" ht="60.75" customHeight="1" x14ac:dyDescent="0.3">
      <c r="B52" s="16" t="s">
        <v>132</v>
      </c>
      <c r="C52" s="12" t="s">
        <v>14</v>
      </c>
      <c r="D52" s="26" t="s">
        <v>40</v>
      </c>
      <c r="E52" s="26" t="s">
        <v>41</v>
      </c>
      <c r="F52" s="99">
        <f ca="1">_xll.RiskUniform(48,192)</f>
        <v>120</v>
      </c>
      <c r="G52" s="22" t="s">
        <v>42</v>
      </c>
      <c r="H52" s="237"/>
      <c r="I52" s="25" t="s">
        <v>43</v>
      </c>
      <c r="J52" s="65" t="s">
        <v>44</v>
      </c>
      <c r="K52" s="66">
        <f ca="1">_xll.RiskOutput()+IF(F58*((F53-F56)/(F57-F56))^2*((F55-F60)/(F59-F60))^2+F61&lt;0,0,F58*((F53-F56)/(F57-F56))^2*((F55-F60)/(F59-F60))^2+F61)</f>
        <v>1.4834825210045565E-3</v>
      </c>
      <c r="L52" s="12" t="s">
        <v>45</v>
      </c>
      <c r="M52" s="30"/>
      <c r="N52" s="21" t="s">
        <v>46</v>
      </c>
      <c r="O52" s="26" t="s">
        <v>35</v>
      </c>
      <c r="P52" s="26" t="s">
        <v>47</v>
      </c>
      <c r="Q52" s="67">
        <f ca="1">_xll.RiskOutput(,Q43,1)+IF(F54&lt;F52,Q43,IF(Q43*EXP(K52*(F54-F52))&gt;10000000000,10000000000,Q43*EXP(K52*(F54-F52))))</f>
        <v>0</v>
      </c>
      <c r="R52" s="22" t="s">
        <v>15</v>
      </c>
    </row>
    <row r="53" spans="2:18" ht="34.5" customHeight="1" x14ac:dyDescent="0.3">
      <c r="B53" s="16" t="s">
        <v>48</v>
      </c>
      <c r="C53" s="12" t="s">
        <v>14</v>
      </c>
      <c r="D53" s="26" t="s">
        <v>49</v>
      </c>
      <c r="E53" s="26" t="s">
        <v>50</v>
      </c>
      <c r="F53" s="100">
        <f ca="1">_xll.RiskNormal(6,2)</f>
        <v>6</v>
      </c>
      <c r="G53" s="22" t="s">
        <v>24</v>
      </c>
      <c r="H53" s="237"/>
      <c r="I53" s="25"/>
      <c r="J53" s="23"/>
      <c r="K53" s="37"/>
      <c r="L53" s="12"/>
      <c r="M53" s="30"/>
      <c r="N53" s="47" t="s">
        <v>51</v>
      </c>
      <c r="O53" s="180" t="s">
        <v>52</v>
      </c>
      <c r="P53" s="26" t="s">
        <v>53</v>
      </c>
      <c r="Q53" s="69">
        <f ca="1">_xll.RiskOutput(,Q52,2)+Q52/F36</f>
        <v>0</v>
      </c>
      <c r="R53" s="183" t="s">
        <v>54</v>
      </c>
    </row>
    <row r="54" spans="2:18" ht="25.5" x14ac:dyDescent="0.3">
      <c r="B54" s="16" t="s">
        <v>55</v>
      </c>
      <c r="C54" s="23" t="s">
        <v>8</v>
      </c>
      <c r="D54" s="23" t="s">
        <v>9</v>
      </c>
      <c r="E54" s="181" t="s">
        <v>56</v>
      </c>
      <c r="F54" s="27">
        <f>21*24</f>
        <v>504</v>
      </c>
      <c r="G54" s="94" t="s">
        <v>42</v>
      </c>
      <c r="H54" s="237"/>
      <c r="I54" s="25"/>
      <c r="J54" s="23"/>
      <c r="K54" s="37"/>
      <c r="L54" s="12"/>
      <c r="M54" s="30"/>
      <c r="N54" s="21"/>
      <c r="O54" s="26"/>
      <c r="P54" s="99" t="s">
        <v>57</v>
      </c>
      <c r="Q54" s="53">
        <f ca="1">_xll.RiskOutput()+IF(Q53=0,-10,LOG(Q53))</f>
        <v>-10</v>
      </c>
      <c r="R54" s="104" t="s">
        <v>58</v>
      </c>
    </row>
    <row r="55" spans="2:18" ht="33" customHeight="1" x14ac:dyDescent="0.3">
      <c r="B55" s="11" t="s">
        <v>59</v>
      </c>
      <c r="C55" s="23" t="s">
        <v>8</v>
      </c>
      <c r="D55" s="23" t="s">
        <v>9</v>
      </c>
      <c r="E55" s="23" t="s">
        <v>60</v>
      </c>
      <c r="F55" s="124">
        <v>5.5</v>
      </c>
      <c r="G55" s="22"/>
      <c r="H55" s="237"/>
      <c r="I55" s="52"/>
      <c r="J55" s="26"/>
      <c r="K55" s="53"/>
      <c r="L55" s="88"/>
      <c r="M55" s="30"/>
      <c r="N55" s="21" t="s">
        <v>27</v>
      </c>
      <c r="O55" s="26" t="s">
        <v>34</v>
      </c>
      <c r="P55" s="26" t="s">
        <v>39</v>
      </c>
      <c r="Q55" s="68">
        <f ca="1">_xll.RiskOutput()+1-_xll.RiskTarget(Q52,0)</f>
        <v>0</v>
      </c>
      <c r="R55" s="22" t="s">
        <v>28</v>
      </c>
    </row>
    <row r="56" spans="2:18" ht="56.25" customHeight="1" x14ac:dyDescent="0.3">
      <c r="B56" s="16" t="s">
        <v>61</v>
      </c>
      <c r="C56" s="12" t="s">
        <v>14</v>
      </c>
      <c r="D56" s="26" t="s">
        <v>62</v>
      </c>
      <c r="E56" s="26" t="s">
        <v>63</v>
      </c>
      <c r="F56" s="100">
        <f ca="1">_xll.RiskNormal(4,0.2)</f>
        <v>4</v>
      </c>
      <c r="G56" s="183" t="s">
        <v>24</v>
      </c>
      <c r="H56" s="237"/>
      <c r="I56" s="52"/>
      <c r="J56" s="26"/>
      <c r="K56" s="53"/>
      <c r="L56" s="88"/>
      <c r="M56" s="30"/>
      <c r="N56" s="54" t="s">
        <v>64</v>
      </c>
      <c r="O56" s="26" t="s">
        <v>130</v>
      </c>
      <c r="P56" s="26" t="s">
        <v>65</v>
      </c>
      <c r="Q56" s="116">
        <f ca="1">1-_xll.RiskTarget(Q54,5)</f>
        <v>0</v>
      </c>
      <c r="R56" s="22" t="s">
        <v>28</v>
      </c>
    </row>
    <row r="57" spans="2:18" ht="25.5" x14ac:dyDescent="0.3">
      <c r="B57" s="16" t="s">
        <v>66</v>
      </c>
      <c r="C57" s="23" t="s">
        <v>8</v>
      </c>
      <c r="D57" s="23" t="s">
        <v>9</v>
      </c>
      <c r="E57" s="181" t="s">
        <v>67</v>
      </c>
      <c r="F57" s="186">
        <v>37</v>
      </c>
      <c r="G57" s="183" t="s">
        <v>24</v>
      </c>
      <c r="H57" s="237"/>
      <c r="I57" s="52"/>
      <c r="J57" s="26"/>
      <c r="K57" s="53"/>
      <c r="L57" s="88"/>
      <c r="M57" s="30"/>
      <c r="N57" s="21"/>
      <c r="O57" s="43"/>
      <c r="P57" s="15"/>
      <c r="Q57" s="89"/>
      <c r="R57" s="22"/>
    </row>
    <row r="58" spans="2:18" x14ac:dyDescent="0.3">
      <c r="B58" s="47" t="s">
        <v>68</v>
      </c>
      <c r="C58" s="181" t="s">
        <v>8</v>
      </c>
      <c r="D58" s="181" t="s">
        <v>9</v>
      </c>
      <c r="E58" s="181" t="s">
        <v>69</v>
      </c>
      <c r="F58" s="184">
        <v>1.8</v>
      </c>
      <c r="G58" s="183" t="s">
        <v>70</v>
      </c>
      <c r="H58" s="237"/>
      <c r="I58" s="52"/>
      <c r="J58" s="26"/>
      <c r="K58" s="53"/>
      <c r="L58" s="88"/>
      <c r="M58" s="30"/>
      <c r="N58" s="21"/>
      <c r="O58" s="43"/>
      <c r="P58" s="15"/>
      <c r="Q58" s="89"/>
      <c r="R58" s="22"/>
    </row>
    <row r="59" spans="2:18" x14ac:dyDescent="0.3">
      <c r="B59" s="47" t="s">
        <v>71</v>
      </c>
      <c r="C59" s="181" t="s">
        <v>8</v>
      </c>
      <c r="D59" s="181" t="s">
        <v>9</v>
      </c>
      <c r="E59" s="181" t="s">
        <v>72</v>
      </c>
      <c r="F59" s="185">
        <v>6.5</v>
      </c>
      <c r="G59" s="182" t="s">
        <v>9</v>
      </c>
      <c r="H59" s="237"/>
      <c r="I59" s="52"/>
      <c r="J59" s="26"/>
      <c r="K59" s="53"/>
      <c r="L59" s="88"/>
      <c r="M59" s="30"/>
      <c r="N59" s="21"/>
      <c r="O59" s="43"/>
      <c r="P59" s="15"/>
      <c r="Q59" s="89"/>
      <c r="R59" s="22"/>
    </row>
    <row r="60" spans="2:18" x14ac:dyDescent="0.3">
      <c r="B60" s="47" t="s">
        <v>73</v>
      </c>
      <c r="C60" s="181" t="s">
        <v>8</v>
      </c>
      <c r="D60" s="181" t="s">
        <v>9</v>
      </c>
      <c r="E60" s="181" t="s">
        <v>74</v>
      </c>
      <c r="F60" s="186">
        <v>4.5999999999999996</v>
      </c>
      <c r="G60" s="182" t="s">
        <v>9</v>
      </c>
      <c r="H60" s="237"/>
      <c r="I60" s="52"/>
      <c r="J60" s="26"/>
      <c r="K60" s="53"/>
      <c r="L60" s="88"/>
      <c r="M60" s="30"/>
      <c r="N60" s="21"/>
      <c r="O60" s="43"/>
      <c r="P60" s="15"/>
      <c r="Q60" s="89"/>
      <c r="R60" s="22"/>
    </row>
    <row r="61" spans="2:18" x14ac:dyDescent="0.3">
      <c r="B61" s="59" t="s">
        <v>75</v>
      </c>
      <c r="C61" s="60" t="s">
        <v>14</v>
      </c>
      <c r="D61" s="101" t="s">
        <v>76</v>
      </c>
      <c r="E61" s="101" t="s">
        <v>77</v>
      </c>
      <c r="F61" s="102">
        <f ca="1">_xll.RiskNormal(0,0.01)</f>
        <v>0</v>
      </c>
      <c r="G61" s="61" t="s">
        <v>9</v>
      </c>
      <c r="H61" s="238"/>
      <c r="I61" s="92"/>
      <c r="J61" s="32"/>
      <c r="K61" s="31"/>
      <c r="L61" s="31"/>
      <c r="M61" s="41"/>
      <c r="N61" s="92"/>
      <c r="O61" s="93"/>
      <c r="P61" s="93"/>
      <c r="Q61" s="93"/>
      <c r="R61" s="95"/>
    </row>
    <row r="62" spans="2:18" x14ac:dyDescent="0.3">
      <c r="B62" s="77"/>
      <c r="C62" s="181"/>
      <c r="D62" s="80"/>
      <c r="E62" s="80"/>
      <c r="F62" s="81"/>
      <c r="G62" s="179"/>
      <c r="H62" s="79"/>
      <c r="I62" s="38"/>
      <c r="J62" s="23"/>
      <c r="K62" s="12"/>
      <c r="L62" s="12"/>
      <c r="M62" s="15"/>
      <c r="N62" s="38"/>
      <c r="O62" s="38"/>
      <c r="P62" s="38"/>
      <c r="Q62" s="38"/>
      <c r="R62" s="38"/>
    </row>
  </sheetData>
  <mergeCells count="36">
    <mergeCell ref="B50:G50"/>
    <mergeCell ref="H50:H61"/>
    <mergeCell ref="I50:L50"/>
    <mergeCell ref="N50:R50"/>
    <mergeCell ref="B40:R40"/>
    <mergeCell ref="B41:G41"/>
    <mergeCell ref="H41:H48"/>
    <mergeCell ref="I41:L41"/>
    <mergeCell ref="N41:R41"/>
    <mergeCell ref="B49:R49"/>
    <mergeCell ref="B33:R33"/>
    <mergeCell ref="B34:G34"/>
    <mergeCell ref="H34:H39"/>
    <mergeCell ref="I34:L34"/>
    <mergeCell ref="M34:M39"/>
    <mergeCell ref="N34:R34"/>
    <mergeCell ref="N37:N38"/>
    <mergeCell ref="B23:R23"/>
    <mergeCell ref="B24:G24"/>
    <mergeCell ref="H24:H32"/>
    <mergeCell ref="I24:L24"/>
    <mergeCell ref="M24:M32"/>
    <mergeCell ref="N24:R24"/>
    <mergeCell ref="N27:N28"/>
    <mergeCell ref="B21:R22"/>
    <mergeCell ref="B4:P5"/>
    <mergeCell ref="C7:N7"/>
    <mergeCell ref="C9:N9"/>
    <mergeCell ref="C10:Q10"/>
    <mergeCell ref="C11:P11"/>
    <mergeCell ref="C13:N13"/>
    <mergeCell ref="C14:Q14"/>
    <mergeCell ref="C15:P15"/>
    <mergeCell ref="C17:N17"/>
    <mergeCell ref="C18:Q18"/>
    <mergeCell ref="C19:P1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13"/>
  <sheetViews>
    <sheetView workbookViewId="0"/>
  </sheetViews>
  <sheetFormatPr baseColWidth="10" defaultColWidth="9.140625" defaultRowHeight="15" x14ac:dyDescent="0.25"/>
  <cols>
    <col min="1" max="26" width="18.7109375" customWidth="1"/>
  </cols>
  <sheetData>
    <row r="1" spans="1:85" x14ac:dyDescent="0.25">
      <c r="A1" t="s">
        <v>80</v>
      </c>
      <c r="B1" t="s">
        <v>87</v>
      </c>
      <c r="C1" t="s">
        <v>84</v>
      </c>
      <c r="D1" t="s">
        <v>85</v>
      </c>
      <c r="E1" t="s">
        <v>82</v>
      </c>
      <c r="F1" t="s">
        <v>83</v>
      </c>
      <c r="G1" t="s">
        <v>99</v>
      </c>
      <c r="H1" t="s">
        <v>90</v>
      </c>
      <c r="I1" t="s">
        <v>91</v>
      </c>
      <c r="J1" t="s">
        <v>92</v>
      </c>
      <c r="K1" t="s">
        <v>93</v>
      </c>
      <c r="L1" t="s">
        <v>88</v>
      </c>
      <c r="M1" t="s">
        <v>94</v>
      </c>
      <c r="N1" t="s">
        <v>96</v>
      </c>
      <c r="O1" t="s">
        <v>100</v>
      </c>
      <c r="P1" t="s">
        <v>102</v>
      </c>
      <c r="Q1" t="s">
        <v>101</v>
      </c>
      <c r="R1" t="s">
        <v>81</v>
      </c>
      <c r="S1" t="s">
        <v>86</v>
      </c>
      <c r="Y1" t="s">
        <v>95</v>
      </c>
      <c r="Z1" t="s">
        <v>97</v>
      </c>
      <c r="AA1" t="s">
        <v>89</v>
      </c>
      <c r="AB1" t="s">
        <v>98</v>
      </c>
    </row>
    <row r="2" spans="1:85" x14ac:dyDescent="0.25">
      <c r="E2" s="63">
        <f ca="1">Solutions!$Q$54</f>
        <v>-10</v>
      </c>
      <c r="S2">
        <v>12</v>
      </c>
    </row>
    <row r="3" spans="1:85" x14ac:dyDescent="0.25">
      <c r="A3" t="s">
        <v>79</v>
      </c>
      <c r="B3">
        <v>9</v>
      </c>
      <c r="C3" t="s">
        <v>160</v>
      </c>
    </row>
    <row r="4" spans="1:85" x14ac:dyDescent="0.25">
      <c r="A4" t="s">
        <v>80</v>
      </c>
      <c r="B4" t="s">
        <v>87</v>
      </c>
      <c r="C4" t="s">
        <v>84</v>
      </c>
      <c r="D4" t="s">
        <v>85</v>
      </c>
      <c r="E4" t="s">
        <v>82</v>
      </c>
      <c r="F4" t="s">
        <v>83</v>
      </c>
      <c r="G4" t="s">
        <v>99</v>
      </c>
      <c r="H4" t="s">
        <v>90</v>
      </c>
      <c r="I4" t="s">
        <v>91</v>
      </c>
      <c r="J4" t="s">
        <v>92</v>
      </c>
      <c r="K4" t="s">
        <v>93</v>
      </c>
      <c r="L4" t="s">
        <v>88</v>
      </c>
      <c r="M4" t="s">
        <v>94</v>
      </c>
      <c r="N4" t="s">
        <v>96</v>
      </c>
      <c r="O4" t="s">
        <v>100</v>
      </c>
      <c r="P4" t="s">
        <v>102</v>
      </c>
      <c r="Q4" t="s">
        <v>101</v>
      </c>
      <c r="R4" t="s">
        <v>81</v>
      </c>
      <c r="S4" t="s">
        <v>86</v>
      </c>
      <c r="Y4" t="s">
        <v>95</v>
      </c>
      <c r="Z4" t="s">
        <v>97</v>
      </c>
      <c r="AA4" t="s">
        <v>89</v>
      </c>
      <c r="AB4" t="s">
        <v>98</v>
      </c>
    </row>
    <row r="5" spans="1:85" x14ac:dyDescent="0.25">
      <c r="A5">
        <v>1</v>
      </c>
      <c r="B5" t="b">
        <v>1</v>
      </c>
      <c r="C5">
        <v>0</v>
      </c>
      <c r="D5" t="s">
        <v>103</v>
      </c>
      <c r="E5" s="63">
        <f ca="1">Solutions!$F$26</f>
        <v>2.5</v>
      </c>
      <c r="F5" t="s">
        <v>225</v>
      </c>
      <c r="G5" t="s">
        <v>161</v>
      </c>
      <c r="H5" s="163" t="s">
        <v>105</v>
      </c>
      <c r="I5" s="163" t="s">
        <v>105</v>
      </c>
      <c r="J5" s="163" t="s">
        <v>105</v>
      </c>
      <c r="K5" s="163" t="s">
        <v>105</v>
      </c>
      <c r="L5" s="163" t="s">
        <v>229</v>
      </c>
      <c r="M5">
        <v>7</v>
      </c>
      <c r="N5" t="b">
        <v>1</v>
      </c>
      <c r="O5" t="b">
        <v>1</v>
      </c>
      <c r="P5">
        <v>9</v>
      </c>
      <c r="Q5">
        <v>0</v>
      </c>
      <c r="R5">
        <v>1</v>
      </c>
      <c r="S5">
        <v>11</v>
      </c>
      <c r="T5" t="s">
        <v>226</v>
      </c>
      <c r="U5" s="163" t="s">
        <v>227</v>
      </c>
      <c r="V5" t="s">
        <v>228</v>
      </c>
      <c r="W5">
        <v>1</v>
      </c>
      <c r="X5">
        <v>17</v>
      </c>
      <c r="Y5">
        <v>0</v>
      </c>
      <c r="Z5">
        <v>4</v>
      </c>
      <c r="AA5" t="b">
        <v>1</v>
      </c>
      <c r="AC5" s="163" t="s">
        <v>162</v>
      </c>
      <c r="AD5" s="163" t="s">
        <v>163</v>
      </c>
      <c r="AE5" s="163" t="s">
        <v>164</v>
      </c>
      <c r="AF5" s="163" t="s">
        <v>165</v>
      </c>
      <c r="AG5" s="163" t="s">
        <v>166</v>
      </c>
      <c r="AH5" s="163" t="s">
        <v>167</v>
      </c>
      <c r="AI5" s="163" t="s">
        <v>168</v>
      </c>
      <c r="BB5" s="163" t="s">
        <v>105</v>
      </c>
      <c r="BC5" s="163" t="s">
        <v>105</v>
      </c>
      <c r="BD5" s="163" t="s">
        <v>105</v>
      </c>
      <c r="BE5" s="163" t="s">
        <v>105</v>
      </c>
      <c r="BF5" s="163" t="s">
        <v>105</v>
      </c>
      <c r="BG5" s="163" t="s">
        <v>105</v>
      </c>
      <c r="BH5" s="163" t="s">
        <v>105</v>
      </c>
      <c r="CA5" t="s">
        <v>106</v>
      </c>
      <c r="CB5" t="s">
        <v>107</v>
      </c>
      <c r="CC5" t="s">
        <v>108</v>
      </c>
      <c r="CD5" t="s">
        <v>109</v>
      </c>
      <c r="CE5" t="s">
        <v>110</v>
      </c>
      <c r="CF5" t="s">
        <v>111</v>
      </c>
      <c r="CG5" t="s">
        <v>112</v>
      </c>
    </row>
    <row r="6" spans="1:85" x14ac:dyDescent="0.25">
      <c r="A6">
        <v>2</v>
      </c>
      <c r="B6" t="b">
        <v>1</v>
      </c>
      <c r="C6">
        <v>0</v>
      </c>
      <c r="D6" t="s">
        <v>103</v>
      </c>
      <c r="E6" s="63">
        <f ca="1">Solutions!$F$28</f>
        <v>1</v>
      </c>
      <c r="F6" t="s">
        <v>225</v>
      </c>
      <c r="G6" t="s">
        <v>161</v>
      </c>
      <c r="H6" s="163" t="s">
        <v>105</v>
      </c>
      <c r="I6" s="163" t="s">
        <v>105</v>
      </c>
      <c r="J6" s="163" t="s">
        <v>105</v>
      </c>
      <c r="K6" s="163" t="s">
        <v>105</v>
      </c>
      <c r="L6" s="163" t="s">
        <v>233</v>
      </c>
      <c r="M6">
        <v>7</v>
      </c>
      <c r="N6" t="b">
        <v>1</v>
      </c>
      <c r="O6" t="b">
        <v>1</v>
      </c>
      <c r="P6">
        <v>9</v>
      </c>
      <c r="Q6">
        <v>1</v>
      </c>
      <c r="R6">
        <v>1</v>
      </c>
      <c r="S6">
        <v>12</v>
      </c>
      <c r="T6" t="s">
        <v>230</v>
      </c>
      <c r="U6" s="163" t="s">
        <v>231</v>
      </c>
      <c r="V6" t="s">
        <v>232</v>
      </c>
      <c r="W6">
        <v>1</v>
      </c>
      <c r="X6">
        <v>17</v>
      </c>
      <c r="Y6">
        <v>0</v>
      </c>
      <c r="Z6">
        <v>4</v>
      </c>
      <c r="AA6" t="b">
        <v>1</v>
      </c>
      <c r="AC6" s="163" t="s">
        <v>162</v>
      </c>
      <c r="AD6" s="163" t="s">
        <v>163</v>
      </c>
      <c r="AE6" s="163" t="s">
        <v>164</v>
      </c>
      <c r="AF6" s="163" t="s">
        <v>165</v>
      </c>
      <c r="AG6" s="163" t="s">
        <v>166</v>
      </c>
      <c r="AH6" s="163" t="s">
        <v>167</v>
      </c>
      <c r="AI6" s="163" t="s">
        <v>168</v>
      </c>
      <c r="BB6" s="163" t="s">
        <v>105</v>
      </c>
      <c r="BC6" s="163" t="s">
        <v>105</v>
      </c>
      <c r="BD6" s="163" t="s">
        <v>105</v>
      </c>
      <c r="BE6" s="163" t="s">
        <v>105</v>
      </c>
      <c r="BF6" s="163" t="s">
        <v>105</v>
      </c>
      <c r="BG6" s="163" t="s">
        <v>105</v>
      </c>
      <c r="BH6" s="163" t="s">
        <v>105</v>
      </c>
      <c r="CA6" t="s">
        <v>106</v>
      </c>
      <c r="CB6" t="s">
        <v>107</v>
      </c>
      <c r="CC6" t="s">
        <v>108</v>
      </c>
      <c r="CD6" t="s">
        <v>109</v>
      </c>
      <c r="CE6" t="s">
        <v>110</v>
      </c>
      <c r="CF6" t="s">
        <v>111</v>
      </c>
      <c r="CG6" t="s">
        <v>112</v>
      </c>
    </row>
    <row r="7" spans="1:85" x14ac:dyDescent="0.25">
      <c r="A7">
        <v>3</v>
      </c>
      <c r="B7" t="b">
        <v>1</v>
      </c>
      <c r="C7">
        <v>0</v>
      </c>
      <c r="D7" t="s">
        <v>103</v>
      </c>
      <c r="E7" s="63">
        <f ca="1">Solutions!$F$30</f>
        <v>4.9999999999998899</v>
      </c>
      <c r="F7" t="s">
        <v>225</v>
      </c>
      <c r="G7" t="s">
        <v>161</v>
      </c>
      <c r="H7" s="163" t="s">
        <v>105</v>
      </c>
      <c r="I7" s="163" t="s">
        <v>105</v>
      </c>
      <c r="J7" s="163" t="s">
        <v>105</v>
      </c>
      <c r="K7" s="163" t="s">
        <v>105</v>
      </c>
      <c r="L7" s="163" t="s">
        <v>237</v>
      </c>
      <c r="M7">
        <v>7</v>
      </c>
      <c r="N7" t="b">
        <v>1</v>
      </c>
      <c r="O7" t="b">
        <v>1</v>
      </c>
      <c r="P7">
        <v>9</v>
      </c>
      <c r="Q7">
        <v>2</v>
      </c>
      <c r="R7">
        <v>1</v>
      </c>
      <c r="S7">
        <v>13</v>
      </c>
      <c r="T7" t="s">
        <v>234</v>
      </c>
      <c r="U7" s="163" t="s">
        <v>235</v>
      </c>
      <c r="V7" t="s">
        <v>236</v>
      </c>
      <c r="W7">
        <v>1</v>
      </c>
      <c r="X7">
        <v>38</v>
      </c>
      <c r="Y7">
        <v>0</v>
      </c>
      <c r="Z7">
        <v>4</v>
      </c>
      <c r="AA7" t="b">
        <v>1</v>
      </c>
      <c r="AC7" s="163" t="s">
        <v>162</v>
      </c>
      <c r="AD7" s="163" t="s">
        <v>163</v>
      </c>
      <c r="AE7" s="163" t="s">
        <v>164</v>
      </c>
      <c r="AF7" s="163" t="s">
        <v>165</v>
      </c>
      <c r="AG7" s="163" t="s">
        <v>166</v>
      </c>
      <c r="AH7" s="163" t="s">
        <v>167</v>
      </c>
      <c r="AI7" s="163" t="s">
        <v>168</v>
      </c>
      <c r="BB7" s="163" t="s">
        <v>105</v>
      </c>
      <c r="BC7" s="163" t="s">
        <v>105</v>
      </c>
      <c r="BD7" s="163" t="s">
        <v>105</v>
      </c>
      <c r="BE7" s="163" t="s">
        <v>105</v>
      </c>
      <c r="BF7" s="163" t="s">
        <v>105</v>
      </c>
      <c r="BG7" s="163" t="s">
        <v>105</v>
      </c>
      <c r="BH7" s="163" t="s">
        <v>105</v>
      </c>
      <c r="CA7" t="s">
        <v>106</v>
      </c>
      <c r="CB7" t="s">
        <v>107</v>
      </c>
      <c r="CC7" t="s">
        <v>108</v>
      </c>
      <c r="CD7" t="s">
        <v>109</v>
      </c>
      <c r="CE7" t="s">
        <v>110</v>
      </c>
      <c r="CF7" t="s">
        <v>111</v>
      </c>
      <c r="CG7" t="s">
        <v>112</v>
      </c>
    </row>
    <row r="8" spans="1:85" x14ac:dyDescent="0.25">
      <c r="A8">
        <v>4</v>
      </c>
      <c r="B8" t="b">
        <v>1</v>
      </c>
      <c r="C8">
        <v>0</v>
      </c>
      <c r="D8" t="s">
        <v>103</v>
      </c>
      <c r="E8" s="164">
        <f ca="1">Solutions!$F$44</f>
        <v>5</v>
      </c>
      <c r="F8" t="s">
        <v>225</v>
      </c>
      <c r="G8" t="s">
        <v>161</v>
      </c>
      <c r="H8" s="163" t="s">
        <v>105</v>
      </c>
      <c r="I8" s="163" t="s">
        <v>105</v>
      </c>
      <c r="J8" s="163" t="s">
        <v>105</v>
      </c>
      <c r="K8" s="163" t="s">
        <v>105</v>
      </c>
      <c r="L8" s="163" t="s">
        <v>178</v>
      </c>
      <c r="M8">
        <v>7</v>
      </c>
      <c r="N8" t="b">
        <v>1</v>
      </c>
      <c r="O8" t="b">
        <v>1</v>
      </c>
      <c r="P8">
        <v>9</v>
      </c>
      <c r="Q8">
        <v>3</v>
      </c>
      <c r="R8">
        <v>1</v>
      </c>
      <c r="S8">
        <v>16</v>
      </c>
      <c r="T8" t="s">
        <v>104</v>
      </c>
      <c r="U8" s="163" t="s">
        <v>176</v>
      </c>
      <c r="V8" t="s">
        <v>177</v>
      </c>
      <c r="W8">
        <v>1</v>
      </c>
      <c r="X8">
        <v>18</v>
      </c>
      <c r="Y8">
        <v>0</v>
      </c>
      <c r="Z8">
        <v>4</v>
      </c>
      <c r="AA8" t="b">
        <v>1</v>
      </c>
      <c r="AC8" s="163" t="s">
        <v>162</v>
      </c>
      <c r="AD8" s="163" t="s">
        <v>163</v>
      </c>
      <c r="AE8" s="163" t="s">
        <v>164</v>
      </c>
      <c r="AF8" s="163" t="s">
        <v>165</v>
      </c>
      <c r="AG8" s="163" t="s">
        <v>166</v>
      </c>
      <c r="AH8" s="163" t="s">
        <v>167</v>
      </c>
      <c r="AI8" s="163" t="s">
        <v>168</v>
      </c>
      <c r="BB8" s="163" t="s">
        <v>105</v>
      </c>
      <c r="BC8" s="163" t="s">
        <v>105</v>
      </c>
      <c r="BD8" s="163" t="s">
        <v>105</v>
      </c>
      <c r="BE8" s="163" t="s">
        <v>105</v>
      </c>
      <c r="BF8" s="163" t="s">
        <v>105</v>
      </c>
      <c r="BG8" s="163" t="s">
        <v>105</v>
      </c>
      <c r="BH8" s="163" t="s">
        <v>105</v>
      </c>
      <c r="CA8" t="s">
        <v>106</v>
      </c>
      <c r="CB8" t="s">
        <v>107</v>
      </c>
      <c r="CC8" t="s">
        <v>108</v>
      </c>
      <c r="CD8" t="s">
        <v>109</v>
      </c>
      <c r="CE8" t="s">
        <v>110</v>
      </c>
      <c r="CF8" t="s">
        <v>111</v>
      </c>
      <c r="CG8" t="s">
        <v>112</v>
      </c>
    </row>
    <row r="9" spans="1:85" x14ac:dyDescent="0.25">
      <c r="A9">
        <v>5</v>
      </c>
      <c r="B9" t="b">
        <v>1</v>
      </c>
      <c r="C9">
        <v>0</v>
      </c>
      <c r="D9" t="s">
        <v>103</v>
      </c>
      <c r="E9">
        <f ca="1">Solutions!$F$48</f>
        <v>0</v>
      </c>
      <c r="F9" t="s">
        <v>225</v>
      </c>
      <c r="G9" t="s">
        <v>161</v>
      </c>
      <c r="H9" s="163" t="s">
        <v>105</v>
      </c>
      <c r="I9" s="163" t="s">
        <v>105</v>
      </c>
      <c r="J9" s="163" t="s">
        <v>105</v>
      </c>
      <c r="K9" s="163" t="s">
        <v>105</v>
      </c>
      <c r="L9" s="163" t="s">
        <v>113</v>
      </c>
      <c r="M9">
        <v>7</v>
      </c>
      <c r="N9" t="b">
        <v>1</v>
      </c>
      <c r="O9" t="b">
        <v>1</v>
      </c>
      <c r="P9">
        <v>9</v>
      </c>
      <c r="Q9">
        <v>4</v>
      </c>
      <c r="R9">
        <v>1</v>
      </c>
      <c r="S9">
        <v>17</v>
      </c>
      <c r="T9" t="s">
        <v>131</v>
      </c>
      <c r="U9" s="163" t="s">
        <v>125</v>
      </c>
      <c r="V9" t="s">
        <v>126</v>
      </c>
      <c r="W9">
        <v>1</v>
      </c>
      <c r="X9">
        <v>19</v>
      </c>
      <c r="Y9">
        <v>0</v>
      </c>
      <c r="Z9">
        <v>4</v>
      </c>
      <c r="AA9" t="b">
        <v>1</v>
      </c>
      <c r="AC9" s="163" t="s">
        <v>162</v>
      </c>
      <c r="AD9" s="163" t="s">
        <v>163</v>
      </c>
      <c r="AE9" s="163" t="s">
        <v>164</v>
      </c>
      <c r="AF9" s="163" t="s">
        <v>165</v>
      </c>
      <c r="AG9" s="163" t="s">
        <v>166</v>
      </c>
      <c r="AH9" s="163" t="s">
        <v>167</v>
      </c>
      <c r="AI9" s="163" t="s">
        <v>168</v>
      </c>
      <c r="BB9" s="163" t="s">
        <v>105</v>
      </c>
      <c r="BC9" s="163" t="s">
        <v>105</v>
      </c>
      <c r="BD9" s="163" t="s">
        <v>105</v>
      </c>
      <c r="BE9" s="163" t="s">
        <v>105</v>
      </c>
      <c r="BF9" s="163" t="s">
        <v>105</v>
      </c>
      <c r="BG9" s="163" t="s">
        <v>105</v>
      </c>
      <c r="BH9" s="163" t="s">
        <v>105</v>
      </c>
      <c r="CA9" t="s">
        <v>106</v>
      </c>
      <c r="CB9" t="s">
        <v>107</v>
      </c>
      <c r="CC9" t="s">
        <v>108</v>
      </c>
      <c r="CD9" t="s">
        <v>109</v>
      </c>
      <c r="CE9" t="s">
        <v>110</v>
      </c>
      <c r="CF9" t="s">
        <v>111</v>
      </c>
      <c r="CG9" t="s">
        <v>112</v>
      </c>
    </row>
    <row r="10" spans="1:85" x14ac:dyDescent="0.25">
      <c r="A10">
        <v>6</v>
      </c>
      <c r="B10" t="b">
        <v>1</v>
      </c>
      <c r="C10">
        <v>0</v>
      </c>
      <c r="D10" t="s">
        <v>103</v>
      </c>
      <c r="E10" s="164">
        <f ca="1">Solutions!$F$52</f>
        <v>120</v>
      </c>
      <c r="F10" t="s">
        <v>225</v>
      </c>
      <c r="G10" t="s">
        <v>161</v>
      </c>
      <c r="H10" s="163" t="s">
        <v>105</v>
      </c>
      <c r="I10" s="163" t="s">
        <v>105</v>
      </c>
      <c r="J10" s="163" t="s">
        <v>105</v>
      </c>
      <c r="K10" s="163" t="s">
        <v>105</v>
      </c>
      <c r="L10" s="163" t="s">
        <v>117</v>
      </c>
      <c r="M10">
        <v>7</v>
      </c>
      <c r="N10" t="b">
        <v>1</v>
      </c>
      <c r="O10" t="b">
        <v>1</v>
      </c>
      <c r="P10">
        <v>9</v>
      </c>
      <c r="Q10">
        <v>5</v>
      </c>
      <c r="R10">
        <v>1</v>
      </c>
      <c r="S10">
        <v>18</v>
      </c>
      <c r="T10" t="s">
        <v>114</v>
      </c>
      <c r="U10" s="163" t="s">
        <v>115</v>
      </c>
      <c r="V10" t="s">
        <v>116</v>
      </c>
      <c r="W10">
        <v>1</v>
      </c>
      <c r="X10">
        <v>20</v>
      </c>
      <c r="Y10">
        <v>0</v>
      </c>
      <c r="Z10">
        <v>4</v>
      </c>
      <c r="AA10" t="b">
        <v>1</v>
      </c>
      <c r="AC10" s="163" t="s">
        <v>162</v>
      </c>
      <c r="AD10" s="163" t="s">
        <v>163</v>
      </c>
      <c r="AE10" s="163" t="s">
        <v>164</v>
      </c>
      <c r="AF10" s="163" t="s">
        <v>165</v>
      </c>
      <c r="AG10" s="163" t="s">
        <v>166</v>
      </c>
      <c r="AH10" s="163" t="s">
        <v>167</v>
      </c>
      <c r="AI10" s="163" t="s">
        <v>168</v>
      </c>
      <c r="BB10" s="163" t="s">
        <v>105</v>
      </c>
      <c r="BC10" s="163" t="s">
        <v>105</v>
      </c>
      <c r="BD10" s="163" t="s">
        <v>105</v>
      </c>
      <c r="BE10" s="163" t="s">
        <v>105</v>
      </c>
      <c r="BF10" s="163" t="s">
        <v>105</v>
      </c>
      <c r="BG10" s="163" t="s">
        <v>105</v>
      </c>
      <c r="BH10" s="163" t="s">
        <v>105</v>
      </c>
      <c r="CA10" t="s">
        <v>106</v>
      </c>
      <c r="CB10" t="s">
        <v>107</v>
      </c>
      <c r="CC10" t="s">
        <v>108</v>
      </c>
      <c r="CD10" t="s">
        <v>109</v>
      </c>
      <c r="CE10" t="s">
        <v>110</v>
      </c>
      <c r="CF10" t="s">
        <v>111</v>
      </c>
      <c r="CG10" t="s">
        <v>112</v>
      </c>
    </row>
    <row r="11" spans="1:85" x14ac:dyDescent="0.25">
      <c r="A11">
        <v>7</v>
      </c>
      <c r="B11" t="b">
        <v>1</v>
      </c>
      <c r="C11">
        <v>0</v>
      </c>
      <c r="D11" t="s">
        <v>103</v>
      </c>
      <c r="E11">
        <f ca="1">Solutions!$F$53</f>
        <v>6</v>
      </c>
      <c r="F11" t="s">
        <v>225</v>
      </c>
      <c r="G11" t="s">
        <v>161</v>
      </c>
      <c r="H11" s="163" t="s">
        <v>105</v>
      </c>
      <c r="I11" s="163" t="s">
        <v>105</v>
      </c>
      <c r="J11" s="163" t="s">
        <v>105</v>
      </c>
      <c r="K11" s="163" t="s">
        <v>105</v>
      </c>
      <c r="L11" s="163" t="s">
        <v>174</v>
      </c>
      <c r="M11">
        <v>7</v>
      </c>
      <c r="N11" t="b">
        <v>1</v>
      </c>
      <c r="O11" t="b">
        <v>1</v>
      </c>
      <c r="P11">
        <v>9</v>
      </c>
      <c r="Q11">
        <v>6</v>
      </c>
      <c r="R11">
        <v>1</v>
      </c>
      <c r="S11">
        <v>19</v>
      </c>
      <c r="T11" t="s">
        <v>118</v>
      </c>
      <c r="U11" s="163" t="s">
        <v>172</v>
      </c>
      <c r="V11" t="s">
        <v>173</v>
      </c>
      <c r="W11">
        <v>1</v>
      </c>
      <c r="X11">
        <v>16</v>
      </c>
      <c r="Y11">
        <v>0</v>
      </c>
      <c r="Z11">
        <v>4</v>
      </c>
      <c r="AA11" t="b">
        <v>1</v>
      </c>
      <c r="AC11" s="163" t="s">
        <v>162</v>
      </c>
      <c r="AD11" s="163" t="s">
        <v>163</v>
      </c>
      <c r="AE11" s="163" t="s">
        <v>164</v>
      </c>
      <c r="AF11" s="163" t="s">
        <v>165</v>
      </c>
      <c r="AG11" s="163" t="s">
        <v>166</v>
      </c>
      <c r="AH11" s="163" t="s">
        <v>167</v>
      </c>
      <c r="AI11" s="163" t="s">
        <v>168</v>
      </c>
      <c r="BB11" s="163" t="s">
        <v>105</v>
      </c>
      <c r="BC11" s="163" t="s">
        <v>105</v>
      </c>
      <c r="BD11" s="163" t="s">
        <v>105</v>
      </c>
      <c r="BE11" s="163" t="s">
        <v>105</v>
      </c>
      <c r="BF11" s="163" t="s">
        <v>105</v>
      </c>
      <c r="BG11" s="163" t="s">
        <v>105</v>
      </c>
      <c r="BH11" s="163" t="s">
        <v>105</v>
      </c>
      <c r="CA11" t="s">
        <v>106</v>
      </c>
      <c r="CB11" t="s">
        <v>107</v>
      </c>
      <c r="CC11" t="s">
        <v>108</v>
      </c>
      <c r="CD11" t="s">
        <v>109</v>
      </c>
      <c r="CE11" t="s">
        <v>110</v>
      </c>
      <c r="CF11" t="s">
        <v>111</v>
      </c>
      <c r="CG11" t="s">
        <v>112</v>
      </c>
    </row>
    <row r="12" spans="1:85" x14ac:dyDescent="0.25">
      <c r="A12">
        <v>8</v>
      </c>
      <c r="B12" t="b">
        <v>1</v>
      </c>
      <c r="C12">
        <v>0</v>
      </c>
      <c r="D12" t="s">
        <v>103</v>
      </c>
      <c r="E12">
        <f ca="1">Solutions!$F$56</f>
        <v>4</v>
      </c>
      <c r="F12" t="s">
        <v>225</v>
      </c>
      <c r="G12" t="s">
        <v>161</v>
      </c>
      <c r="H12" s="163" t="s">
        <v>105</v>
      </c>
      <c r="I12" s="163" t="s">
        <v>105</v>
      </c>
      <c r="J12" s="163" t="s">
        <v>105</v>
      </c>
      <c r="K12" s="163" t="s">
        <v>105</v>
      </c>
      <c r="L12" s="163" t="s">
        <v>122</v>
      </c>
      <c r="M12">
        <v>7</v>
      </c>
      <c r="N12" t="b">
        <v>1</v>
      </c>
      <c r="O12" t="b">
        <v>1</v>
      </c>
      <c r="P12">
        <v>9</v>
      </c>
      <c r="Q12">
        <v>7</v>
      </c>
      <c r="R12">
        <v>1</v>
      </c>
      <c r="S12">
        <v>20</v>
      </c>
      <c r="T12" t="s">
        <v>119</v>
      </c>
      <c r="U12" s="163" t="s">
        <v>120</v>
      </c>
      <c r="V12" t="s">
        <v>121</v>
      </c>
      <c r="W12">
        <v>1</v>
      </c>
      <c r="X12">
        <v>18</v>
      </c>
      <c r="Y12">
        <v>0</v>
      </c>
      <c r="Z12">
        <v>4</v>
      </c>
      <c r="AA12" t="b">
        <v>1</v>
      </c>
      <c r="AC12" s="163" t="s">
        <v>162</v>
      </c>
      <c r="AD12" s="163" t="s">
        <v>163</v>
      </c>
      <c r="AE12" s="163" t="s">
        <v>164</v>
      </c>
      <c r="AF12" s="163" t="s">
        <v>165</v>
      </c>
      <c r="AG12" s="163" t="s">
        <v>166</v>
      </c>
      <c r="AH12" s="163" t="s">
        <v>167</v>
      </c>
      <c r="AI12" s="163" t="s">
        <v>168</v>
      </c>
      <c r="BB12" s="163" t="s">
        <v>105</v>
      </c>
      <c r="BC12" s="163" t="s">
        <v>105</v>
      </c>
      <c r="BD12" s="163" t="s">
        <v>105</v>
      </c>
      <c r="BE12" s="163" t="s">
        <v>105</v>
      </c>
      <c r="BF12" s="163" t="s">
        <v>105</v>
      </c>
      <c r="BG12" s="163" t="s">
        <v>105</v>
      </c>
      <c r="BH12" s="163" t="s">
        <v>105</v>
      </c>
      <c r="CA12" t="s">
        <v>106</v>
      </c>
      <c r="CB12" t="s">
        <v>107</v>
      </c>
      <c r="CC12" t="s">
        <v>108</v>
      </c>
      <c r="CD12" t="s">
        <v>109</v>
      </c>
      <c r="CE12" t="s">
        <v>110</v>
      </c>
      <c r="CF12" t="s">
        <v>111</v>
      </c>
      <c r="CG12" t="s">
        <v>112</v>
      </c>
    </row>
    <row r="13" spans="1:85" x14ac:dyDescent="0.25">
      <c r="A13">
        <v>9</v>
      </c>
      <c r="B13" t="b">
        <v>1</v>
      </c>
      <c r="C13">
        <v>0</v>
      </c>
      <c r="D13" t="s">
        <v>103</v>
      </c>
      <c r="E13">
        <f ca="1">Solutions!$F$61</f>
        <v>0</v>
      </c>
      <c r="F13" t="s">
        <v>225</v>
      </c>
      <c r="G13" t="s">
        <v>161</v>
      </c>
      <c r="H13" s="163" t="s">
        <v>105</v>
      </c>
      <c r="I13" s="163" t="s">
        <v>105</v>
      </c>
      <c r="J13" s="163" t="s">
        <v>105</v>
      </c>
      <c r="K13" s="163" t="s">
        <v>105</v>
      </c>
      <c r="L13" s="163" t="s">
        <v>113</v>
      </c>
      <c r="M13">
        <v>7</v>
      </c>
      <c r="N13" t="b">
        <v>1</v>
      </c>
      <c r="O13" t="b">
        <v>1</v>
      </c>
      <c r="P13">
        <v>9</v>
      </c>
      <c r="Q13">
        <v>8</v>
      </c>
      <c r="R13">
        <v>1</v>
      </c>
      <c r="S13">
        <v>21</v>
      </c>
      <c r="T13" t="s">
        <v>127</v>
      </c>
      <c r="U13" s="163" t="s">
        <v>123</v>
      </c>
      <c r="V13" t="s">
        <v>124</v>
      </c>
      <c r="W13">
        <v>1</v>
      </c>
      <c r="X13">
        <v>19</v>
      </c>
      <c r="Y13">
        <v>0</v>
      </c>
      <c r="Z13">
        <v>4</v>
      </c>
      <c r="AA13" t="b">
        <v>1</v>
      </c>
      <c r="AC13" s="163" t="s">
        <v>162</v>
      </c>
      <c r="AD13" s="163" t="s">
        <v>163</v>
      </c>
      <c r="AE13" s="163" t="s">
        <v>164</v>
      </c>
      <c r="AF13" s="163" t="s">
        <v>165</v>
      </c>
      <c r="AG13" s="163" t="s">
        <v>166</v>
      </c>
      <c r="AH13" s="163" t="s">
        <v>167</v>
      </c>
      <c r="AI13" s="163" t="s">
        <v>168</v>
      </c>
      <c r="BB13" s="163" t="s">
        <v>105</v>
      </c>
      <c r="BC13" s="163" t="s">
        <v>105</v>
      </c>
      <c r="BD13" s="163" t="s">
        <v>105</v>
      </c>
      <c r="BE13" s="163" t="s">
        <v>105</v>
      </c>
      <c r="BF13" s="163" t="s">
        <v>105</v>
      </c>
      <c r="BG13" s="163" t="s">
        <v>105</v>
      </c>
      <c r="BH13" s="163" t="s">
        <v>105</v>
      </c>
      <c r="CA13" t="s">
        <v>106</v>
      </c>
      <c r="CB13" t="s">
        <v>107</v>
      </c>
      <c r="CC13" t="s">
        <v>108</v>
      </c>
      <c r="CD13" t="s">
        <v>109</v>
      </c>
      <c r="CE13" t="s">
        <v>110</v>
      </c>
      <c r="CF13" t="s">
        <v>111</v>
      </c>
      <c r="CG1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2"/>
  <sheetViews>
    <sheetView showGridLines="0" zoomScale="90" zoomScaleNormal="90" workbookViewId="0">
      <selection activeCell="U32" sqref="U32"/>
    </sheetView>
  </sheetViews>
  <sheetFormatPr baseColWidth="10" defaultColWidth="11.42578125" defaultRowHeight="18.75" x14ac:dyDescent="0.3"/>
  <cols>
    <col min="1" max="1" width="3.85546875" style="2" customWidth="1"/>
    <col min="2" max="2" width="23.28515625" style="2" customWidth="1"/>
    <col min="3" max="3" width="11.42578125" style="3" customWidth="1"/>
    <col min="4" max="4" width="22.7109375" style="2" customWidth="1"/>
    <col min="5" max="5" width="7.7109375" style="2" bestFit="1" customWidth="1"/>
    <col min="6" max="6" width="10.85546875" style="2" customWidth="1"/>
    <col min="7" max="7" width="11.140625" style="2" customWidth="1"/>
    <col min="8" max="8" width="0.85546875" style="2" customWidth="1"/>
    <col min="9" max="9" width="19" style="2" customWidth="1"/>
    <col min="10" max="10" width="28.7109375" style="2" customWidth="1"/>
    <col min="11" max="11" width="10.85546875" style="2" customWidth="1"/>
    <col min="12" max="12" width="9.140625" style="2" customWidth="1"/>
    <col min="13" max="13" width="0.85546875" style="2" customWidth="1"/>
    <col min="14" max="14" width="27.85546875" style="2" customWidth="1"/>
    <col min="15" max="15" width="24" style="2" customWidth="1"/>
    <col min="16" max="16" width="24.42578125" style="2" customWidth="1"/>
    <col min="17" max="17" width="15.7109375" style="2" customWidth="1"/>
    <col min="18" max="18" width="9.140625" style="2" customWidth="1"/>
    <col min="19" max="16384" width="11.42578125" style="2"/>
  </cols>
  <sheetData>
    <row r="1" spans="1:18" x14ac:dyDescent="0.3">
      <c r="A1" s="1"/>
      <c r="B1" s="1"/>
    </row>
    <row r="2" spans="1:18" x14ac:dyDescent="0.3">
      <c r="A2" s="1"/>
      <c r="B2" s="4" t="s">
        <v>253</v>
      </c>
    </row>
    <row r="3" spans="1:18" x14ac:dyDescent="0.3">
      <c r="A3" s="1"/>
      <c r="B3" s="4"/>
    </row>
    <row r="4" spans="1:18" ht="16.5" customHeight="1" x14ac:dyDescent="0.3">
      <c r="A4" s="1"/>
      <c r="B4" s="228" t="s">
        <v>247</v>
      </c>
      <c r="C4" s="228"/>
      <c r="D4" s="228"/>
      <c r="E4" s="228"/>
      <c r="F4" s="228"/>
      <c r="G4" s="228"/>
      <c r="H4" s="228"/>
      <c r="I4" s="228"/>
      <c r="J4" s="228"/>
      <c r="K4" s="228"/>
      <c r="L4" s="228"/>
      <c r="M4" s="228"/>
      <c r="N4" s="228"/>
      <c r="O4" s="228"/>
      <c r="P4" s="228"/>
    </row>
    <row r="5" spans="1:18" x14ac:dyDescent="0.3">
      <c r="A5" s="1"/>
      <c r="B5" s="228"/>
      <c r="C5" s="228"/>
      <c r="D5" s="228"/>
      <c r="E5" s="228"/>
      <c r="F5" s="228"/>
      <c r="G5" s="228"/>
      <c r="H5" s="228"/>
      <c r="I5" s="228"/>
      <c r="J5" s="228"/>
      <c r="K5" s="228"/>
      <c r="L5" s="228"/>
      <c r="M5" s="228"/>
      <c r="N5" s="228"/>
      <c r="O5" s="228"/>
      <c r="P5" s="228"/>
    </row>
    <row r="6" spans="1:18" x14ac:dyDescent="0.3">
      <c r="A6" s="1"/>
      <c r="B6" s="4"/>
    </row>
    <row r="7" spans="1:18" ht="34.5" customHeight="1" x14ac:dyDescent="0.3">
      <c r="A7" s="1"/>
      <c r="B7" s="5"/>
      <c r="C7" s="229" t="s">
        <v>137</v>
      </c>
      <c r="D7" s="229"/>
      <c r="E7" s="229"/>
      <c r="F7" s="229"/>
      <c r="G7" s="229"/>
      <c r="H7" s="229"/>
      <c r="I7" s="229"/>
      <c r="J7" s="229"/>
      <c r="K7" s="229"/>
      <c r="L7" s="229"/>
      <c r="M7" s="229"/>
      <c r="N7" s="229"/>
      <c r="O7" s="6"/>
    </row>
    <row r="8" spans="1:18" ht="11.25" customHeight="1" x14ac:dyDescent="0.3">
      <c r="A8" s="1"/>
      <c r="B8" s="5"/>
      <c r="C8" s="6"/>
      <c r="D8" s="6"/>
      <c r="E8" s="6"/>
      <c r="F8" s="6"/>
      <c r="G8" s="6"/>
      <c r="H8" s="6"/>
      <c r="I8" s="6"/>
      <c r="J8" s="6"/>
    </row>
    <row r="9" spans="1:18" ht="69" customHeight="1" x14ac:dyDescent="0.3">
      <c r="A9" s="1"/>
      <c r="B9" s="5"/>
      <c r="C9" s="229" t="s">
        <v>248</v>
      </c>
      <c r="D9" s="229"/>
      <c r="E9" s="229"/>
      <c r="F9" s="229"/>
      <c r="G9" s="229"/>
      <c r="H9" s="229"/>
      <c r="I9" s="229"/>
      <c r="J9" s="229"/>
      <c r="K9" s="229"/>
      <c r="L9" s="229"/>
      <c r="M9" s="229"/>
      <c r="N9" s="229"/>
      <c r="O9" s="6"/>
    </row>
    <row r="10" spans="1:18" ht="27" hidden="1" customHeight="1" x14ac:dyDescent="0.3">
      <c r="A10" s="1"/>
      <c r="B10" s="5"/>
      <c r="C10" s="229"/>
      <c r="D10" s="229"/>
      <c r="E10" s="229"/>
      <c r="F10" s="229"/>
      <c r="G10" s="229"/>
      <c r="H10" s="229"/>
      <c r="I10" s="229"/>
      <c r="J10" s="229"/>
      <c r="K10" s="229"/>
      <c r="L10" s="229"/>
      <c r="M10" s="229"/>
      <c r="N10" s="229"/>
      <c r="O10" s="229"/>
      <c r="P10" s="229"/>
      <c r="Q10" s="229"/>
      <c r="R10" s="46"/>
    </row>
    <row r="11" spans="1:18" ht="18.75" hidden="1" customHeight="1" x14ac:dyDescent="0.3">
      <c r="A11" s="1"/>
      <c r="B11" s="5"/>
      <c r="C11" s="229"/>
      <c r="D11" s="229"/>
      <c r="E11" s="229"/>
      <c r="F11" s="229"/>
      <c r="G11" s="229"/>
      <c r="H11" s="229"/>
      <c r="I11" s="229"/>
      <c r="J11" s="229"/>
      <c r="K11" s="229"/>
      <c r="L11" s="229"/>
      <c r="M11" s="229"/>
      <c r="N11" s="229"/>
      <c r="O11" s="229"/>
      <c r="P11" s="229"/>
    </row>
    <row r="12" spans="1:18" ht="12" customHeight="1" x14ac:dyDescent="0.3">
      <c r="A12" s="1"/>
      <c r="B12" s="5"/>
      <c r="C12" s="6"/>
      <c r="D12" s="6"/>
      <c r="E12" s="6"/>
      <c r="F12" s="6"/>
      <c r="G12" s="6"/>
      <c r="H12" s="6"/>
      <c r="I12" s="6"/>
      <c r="J12" s="6"/>
      <c r="K12" s="6"/>
      <c r="L12" s="6"/>
      <c r="M12" s="6"/>
      <c r="N12" s="6"/>
      <c r="O12" s="6"/>
      <c r="P12" s="6"/>
    </row>
    <row r="13" spans="1:18" ht="18.75" customHeight="1" x14ac:dyDescent="0.3">
      <c r="A13" s="1"/>
      <c r="B13" s="5"/>
      <c r="C13" s="229" t="s">
        <v>138</v>
      </c>
      <c r="D13" s="229"/>
      <c r="E13" s="229"/>
      <c r="F13" s="229"/>
      <c r="G13" s="229"/>
      <c r="H13" s="229"/>
      <c r="I13" s="229"/>
      <c r="J13" s="229"/>
      <c r="K13" s="229"/>
      <c r="L13" s="229"/>
      <c r="M13" s="229"/>
      <c r="N13" s="229"/>
      <c r="O13" s="6"/>
    </row>
    <row r="14" spans="1:18" ht="3.75" customHeight="1" x14ac:dyDescent="0.3">
      <c r="A14" s="1"/>
      <c r="B14" s="5"/>
      <c r="C14" s="229"/>
      <c r="D14" s="229"/>
      <c r="E14" s="229"/>
      <c r="F14" s="229"/>
      <c r="G14" s="229"/>
      <c r="H14" s="229"/>
      <c r="I14" s="229"/>
      <c r="J14" s="229"/>
      <c r="K14" s="229"/>
      <c r="L14" s="229"/>
      <c r="M14" s="229"/>
      <c r="N14" s="229"/>
      <c r="O14" s="229"/>
      <c r="P14" s="229"/>
      <c r="Q14" s="229"/>
    </row>
    <row r="15" spans="1:18" ht="3.75" customHeight="1" x14ac:dyDescent="0.3">
      <c r="A15" s="1"/>
      <c r="B15" s="4"/>
      <c r="C15" s="229"/>
      <c r="D15" s="229"/>
      <c r="E15" s="229"/>
      <c r="F15" s="229"/>
      <c r="G15" s="229"/>
      <c r="H15" s="229"/>
      <c r="I15" s="229"/>
      <c r="J15" s="229"/>
      <c r="K15" s="229"/>
      <c r="L15" s="229"/>
      <c r="M15" s="229"/>
      <c r="N15" s="229"/>
      <c r="O15" s="229"/>
      <c r="P15" s="229"/>
    </row>
    <row r="16" spans="1:18" ht="3.75" customHeight="1" x14ac:dyDescent="0.3">
      <c r="A16" s="1"/>
      <c r="B16" s="4"/>
      <c r="C16" s="6"/>
      <c r="D16" s="6"/>
      <c r="E16" s="6"/>
      <c r="F16" s="6"/>
      <c r="G16" s="6"/>
      <c r="H16" s="6"/>
      <c r="I16" s="6"/>
      <c r="J16" s="6"/>
      <c r="K16" s="6"/>
      <c r="L16" s="6"/>
      <c r="M16" s="6"/>
      <c r="N16" s="6"/>
      <c r="O16" s="6"/>
      <c r="P16" s="6"/>
    </row>
    <row r="17" spans="1:19" ht="33" customHeight="1" x14ac:dyDescent="0.3">
      <c r="A17" s="1"/>
      <c r="B17" s="4"/>
      <c r="C17" s="229" t="s">
        <v>139</v>
      </c>
      <c r="D17" s="229"/>
      <c r="E17" s="229"/>
      <c r="F17" s="229"/>
      <c r="G17" s="229"/>
      <c r="H17" s="229"/>
      <c r="I17" s="229"/>
      <c r="J17" s="229"/>
      <c r="K17" s="229"/>
      <c r="L17" s="229"/>
      <c r="M17" s="229"/>
      <c r="N17" s="229"/>
      <c r="O17" s="6"/>
    </row>
    <row r="18" spans="1:19" ht="6" customHeight="1" x14ac:dyDescent="0.3">
      <c r="A18" s="1"/>
      <c r="B18" s="4"/>
      <c r="C18" s="229"/>
      <c r="D18" s="229"/>
      <c r="E18" s="229"/>
      <c r="F18" s="229"/>
      <c r="G18" s="229"/>
      <c r="H18" s="229"/>
      <c r="I18" s="229"/>
      <c r="J18" s="229"/>
      <c r="K18" s="229"/>
      <c r="L18" s="229"/>
      <c r="M18" s="229"/>
      <c r="N18" s="229"/>
      <c r="O18" s="229"/>
      <c r="P18" s="229"/>
      <c r="Q18" s="229"/>
    </row>
    <row r="19" spans="1:19" ht="6" customHeight="1" x14ac:dyDescent="0.3">
      <c r="A19" s="1"/>
      <c r="B19" s="4"/>
      <c r="C19" s="229"/>
      <c r="D19" s="229"/>
      <c r="E19" s="229"/>
      <c r="F19" s="229"/>
      <c r="G19" s="229"/>
      <c r="H19" s="229"/>
      <c r="I19" s="229"/>
      <c r="J19" s="229"/>
      <c r="K19" s="229"/>
      <c r="L19" s="229"/>
      <c r="M19" s="229"/>
      <c r="N19" s="229"/>
      <c r="O19" s="229"/>
      <c r="P19" s="229"/>
    </row>
    <row r="20" spans="1:19" x14ac:dyDescent="0.3">
      <c r="A20" s="1"/>
      <c r="B20" s="4"/>
    </row>
    <row r="21" spans="1:19" x14ac:dyDescent="0.3">
      <c r="B21" s="226" t="s">
        <v>140</v>
      </c>
      <c r="C21" s="226"/>
      <c r="D21" s="226"/>
      <c r="E21" s="226"/>
      <c r="F21" s="226"/>
      <c r="G21" s="226"/>
      <c r="H21" s="226"/>
      <c r="I21" s="226"/>
      <c r="J21" s="226"/>
      <c r="K21" s="226"/>
      <c r="L21" s="226"/>
      <c r="M21" s="226"/>
      <c r="N21" s="226"/>
      <c r="O21" s="226"/>
      <c r="P21" s="226"/>
      <c r="Q21" s="226"/>
      <c r="R21" s="226"/>
      <c r="S21" s="46"/>
    </row>
    <row r="22" spans="1:19" x14ac:dyDescent="0.3">
      <c r="B22" s="227"/>
      <c r="C22" s="227"/>
      <c r="D22" s="227"/>
      <c r="E22" s="227"/>
      <c r="F22" s="227"/>
      <c r="G22" s="227"/>
      <c r="H22" s="227"/>
      <c r="I22" s="227"/>
      <c r="J22" s="227"/>
      <c r="K22" s="227"/>
      <c r="L22" s="227"/>
      <c r="M22" s="227"/>
      <c r="N22" s="227"/>
      <c r="O22" s="227"/>
      <c r="P22" s="227"/>
      <c r="Q22" s="227"/>
      <c r="R22" s="227"/>
    </row>
    <row r="23" spans="1:19" s="7" customFormat="1" ht="25.5" customHeight="1" x14ac:dyDescent="0.25">
      <c r="B23" s="230" t="s">
        <v>179</v>
      </c>
      <c r="C23" s="231"/>
      <c r="D23" s="231"/>
      <c r="E23" s="231"/>
      <c r="F23" s="231"/>
      <c r="G23" s="231"/>
      <c r="H23" s="231"/>
      <c r="I23" s="231"/>
      <c r="J23" s="231"/>
      <c r="K23" s="231"/>
      <c r="L23" s="231"/>
      <c r="M23" s="231"/>
      <c r="N23" s="231"/>
      <c r="O23" s="231"/>
      <c r="P23" s="231"/>
      <c r="Q23" s="231"/>
      <c r="R23" s="232"/>
    </row>
    <row r="24" spans="1:19" s="7" customFormat="1" ht="15.75" x14ac:dyDescent="0.25">
      <c r="B24" s="233" t="s">
        <v>0</v>
      </c>
      <c r="C24" s="234"/>
      <c r="D24" s="234"/>
      <c r="E24" s="234"/>
      <c r="F24" s="234"/>
      <c r="G24" s="235"/>
      <c r="H24" s="236"/>
      <c r="I24" s="233" t="s">
        <v>1</v>
      </c>
      <c r="J24" s="234"/>
      <c r="K24" s="234"/>
      <c r="L24" s="235"/>
      <c r="M24" s="236"/>
      <c r="N24" s="233" t="s">
        <v>2</v>
      </c>
      <c r="O24" s="234"/>
      <c r="P24" s="234"/>
      <c r="Q24" s="234"/>
      <c r="R24" s="235"/>
    </row>
    <row r="25" spans="1:19" s="7" customFormat="1" ht="15.75" x14ac:dyDescent="0.25">
      <c r="B25" s="8" t="s">
        <v>3</v>
      </c>
      <c r="C25" s="9" t="s">
        <v>4</v>
      </c>
      <c r="D25" s="9" t="s">
        <v>5</v>
      </c>
      <c r="E25" s="9" t="s">
        <v>6</v>
      </c>
      <c r="F25" s="9" t="s">
        <v>7</v>
      </c>
      <c r="G25" s="9" t="s">
        <v>251</v>
      </c>
      <c r="H25" s="237"/>
      <c r="I25" s="8" t="s">
        <v>3</v>
      </c>
      <c r="J25" s="9" t="s">
        <v>249</v>
      </c>
      <c r="K25" s="9" t="s">
        <v>7</v>
      </c>
      <c r="L25" s="10" t="s">
        <v>250</v>
      </c>
      <c r="M25" s="237"/>
      <c r="N25" s="8" t="s">
        <v>3</v>
      </c>
      <c r="O25" s="9" t="s">
        <v>6</v>
      </c>
      <c r="P25" s="9" t="s">
        <v>5</v>
      </c>
      <c r="Q25" s="9" t="s">
        <v>7</v>
      </c>
      <c r="R25" s="10" t="s">
        <v>251</v>
      </c>
    </row>
    <row r="26" spans="1:19" s="7" customFormat="1" ht="28.5" customHeight="1" x14ac:dyDescent="0.25">
      <c r="B26" s="129" t="s">
        <v>180</v>
      </c>
      <c r="C26" s="132" t="s">
        <v>14</v>
      </c>
      <c r="D26" s="162" t="s">
        <v>187</v>
      </c>
      <c r="E26" s="160" t="s">
        <v>190</v>
      </c>
      <c r="F26" s="161">
        <f ca="1">_xll.RiskUniform(0,5)</f>
        <v>2.5</v>
      </c>
      <c r="G26" s="144" t="s">
        <v>197</v>
      </c>
      <c r="H26" s="237"/>
      <c r="I26" s="129" t="s">
        <v>199</v>
      </c>
      <c r="J26" s="126" t="s">
        <v>202</v>
      </c>
      <c r="K26" s="187">
        <f ca="1">10^F26*F27/100*F32*10^3</f>
        <v>316227766.01683825</v>
      </c>
      <c r="L26" s="147" t="s">
        <v>205</v>
      </c>
      <c r="M26" s="237"/>
      <c r="N26" s="129" t="s">
        <v>206</v>
      </c>
      <c r="O26" s="148" t="s">
        <v>212</v>
      </c>
      <c r="P26" s="149" t="s">
        <v>209</v>
      </c>
      <c r="Q26" s="187">
        <f ca="1">K26+K27+K28</f>
        <v>496227766.01681304</v>
      </c>
      <c r="R26" s="150" t="s">
        <v>15</v>
      </c>
    </row>
    <row r="27" spans="1:19" s="7" customFormat="1" ht="45" customHeight="1" x14ac:dyDescent="0.25">
      <c r="B27" s="127" t="s">
        <v>181</v>
      </c>
      <c r="C27" s="132" t="s">
        <v>8</v>
      </c>
      <c r="D27" s="136" t="s">
        <v>9</v>
      </c>
      <c r="E27" s="138" t="s">
        <v>191</v>
      </c>
      <c r="F27" s="140">
        <v>10</v>
      </c>
      <c r="G27" s="144" t="s">
        <v>198</v>
      </c>
      <c r="H27" s="237"/>
      <c r="I27" s="129" t="s">
        <v>200</v>
      </c>
      <c r="J27" s="126" t="s">
        <v>203</v>
      </c>
      <c r="K27" s="187">
        <f ca="1">10^F28*F29/100*F32*10^3</f>
        <v>80000000</v>
      </c>
      <c r="L27" s="147" t="s">
        <v>205</v>
      </c>
      <c r="M27" s="237"/>
      <c r="N27" s="239" t="s">
        <v>207</v>
      </c>
      <c r="O27" s="148" t="s">
        <v>213</v>
      </c>
      <c r="P27" s="149" t="s">
        <v>210</v>
      </c>
      <c r="Q27" s="187">
        <f ca="1">Q26/(F32*10^3)</f>
        <v>49.622776601681302</v>
      </c>
      <c r="R27" s="151" t="s">
        <v>54</v>
      </c>
    </row>
    <row r="28" spans="1:19" s="125" customFormat="1" ht="36" customHeight="1" x14ac:dyDescent="0.25">
      <c r="B28" s="128" t="s">
        <v>182</v>
      </c>
      <c r="C28" s="132" t="s">
        <v>14</v>
      </c>
      <c r="D28" s="162" t="s">
        <v>188</v>
      </c>
      <c r="E28" s="160" t="s">
        <v>192</v>
      </c>
      <c r="F28" s="159">
        <f ca="1">_xll.RiskLognorm(1,1)</f>
        <v>1</v>
      </c>
      <c r="G28" s="144" t="s">
        <v>197</v>
      </c>
      <c r="H28" s="237"/>
      <c r="I28" s="129" t="s">
        <v>201</v>
      </c>
      <c r="J28" s="126" t="s">
        <v>204</v>
      </c>
      <c r="K28" s="187">
        <f ca="1">10^F30*F31/100*F32*10^3</f>
        <v>99999999.999974802</v>
      </c>
      <c r="L28" s="147" t="s">
        <v>205</v>
      </c>
      <c r="M28" s="237"/>
      <c r="N28" s="239"/>
      <c r="O28" s="146"/>
      <c r="P28" s="149" t="s">
        <v>57</v>
      </c>
      <c r="Q28" s="188">
        <f ca="1">IF(Q27=0,-10,LOG(Q27))</f>
        <v>1.6956810612068769</v>
      </c>
      <c r="R28" s="150" t="s">
        <v>58</v>
      </c>
    </row>
    <row r="29" spans="1:19" s="7" customFormat="1" ht="30" x14ac:dyDescent="0.25">
      <c r="B29" s="127" t="s">
        <v>183</v>
      </c>
      <c r="C29" s="132" t="s">
        <v>8</v>
      </c>
      <c r="D29" s="136" t="s">
        <v>9</v>
      </c>
      <c r="E29" s="138" t="s">
        <v>193</v>
      </c>
      <c r="F29" s="140">
        <v>80</v>
      </c>
      <c r="G29" s="144" t="s">
        <v>198</v>
      </c>
      <c r="H29" s="237"/>
      <c r="I29" s="8"/>
      <c r="J29" s="9"/>
      <c r="K29" s="9"/>
      <c r="L29" s="10"/>
      <c r="M29" s="237"/>
      <c r="N29" s="131" t="s">
        <v>208</v>
      </c>
      <c r="O29" s="148" t="s">
        <v>214</v>
      </c>
      <c r="P29" s="149" t="s">
        <v>211</v>
      </c>
      <c r="Q29" s="189">
        <f ca="1">1-_xll.RiskTarget(Q26,0)</f>
        <v>1</v>
      </c>
      <c r="R29" s="170" t="s">
        <v>215</v>
      </c>
    </row>
    <row r="30" spans="1:19" s="7" customFormat="1" ht="36" customHeight="1" x14ac:dyDescent="0.25">
      <c r="B30" s="129" t="s">
        <v>184</v>
      </c>
      <c r="C30" s="132" t="s">
        <v>14</v>
      </c>
      <c r="D30" s="162" t="s">
        <v>189</v>
      </c>
      <c r="E30" s="160" t="s">
        <v>194</v>
      </c>
      <c r="F30" s="161">
        <f ca="1">_xll.RiskPertAlt(5%,4,"m. likely",5,95%,6)</f>
        <v>4.9999999999998899</v>
      </c>
      <c r="G30" s="144" t="s">
        <v>197</v>
      </c>
      <c r="H30" s="237"/>
      <c r="I30" s="8"/>
      <c r="J30" s="9"/>
      <c r="K30" s="9"/>
      <c r="L30" s="10"/>
      <c r="M30" s="237"/>
      <c r="N30" s="21"/>
      <c r="O30" s="26"/>
      <c r="P30" s="26"/>
      <c r="Q30" s="67"/>
      <c r="R30" s="22"/>
    </row>
    <row r="31" spans="1:19" s="7" customFormat="1" ht="15.75" x14ac:dyDescent="0.25">
      <c r="B31" s="127" t="s">
        <v>185</v>
      </c>
      <c r="C31" s="133" t="s">
        <v>8</v>
      </c>
      <c r="D31" s="135" t="s">
        <v>9</v>
      </c>
      <c r="E31" s="138" t="s">
        <v>195</v>
      </c>
      <c r="F31" s="141">
        <v>0.01</v>
      </c>
      <c r="G31" s="143" t="s">
        <v>198</v>
      </c>
      <c r="H31" s="237"/>
      <c r="I31" s="8"/>
      <c r="J31" s="9"/>
      <c r="K31" s="9"/>
      <c r="L31" s="10"/>
      <c r="M31" s="237"/>
      <c r="N31" s="8"/>
      <c r="O31" s="9"/>
      <c r="P31" s="9"/>
      <c r="Q31" s="9"/>
      <c r="R31" s="10"/>
    </row>
    <row r="32" spans="1:19" s="7" customFormat="1" ht="32.25" customHeight="1" x14ac:dyDescent="0.25">
      <c r="B32" s="130" t="s">
        <v>186</v>
      </c>
      <c r="C32" s="134" t="s">
        <v>8</v>
      </c>
      <c r="D32" s="137" t="s">
        <v>9</v>
      </c>
      <c r="E32" s="139" t="s">
        <v>196</v>
      </c>
      <c r="F32" s="142">
        <v>10000</v>
      </c>
      <c r="G32" s="145" t="s">
        <v>10</v>
      </c>
      <c r="H32" s="238"/>
      <c r="I32" s="19"/>
      <c r="J32" s="12"/>
      <c r="K32" s="18"/>
      <c r="L32" s="20"/>
      <c r="M32" s="238"/>
      <c r="P32" s="12"/>
      <c r="R32" s="36"/>
    </row>
    <row r="33" spans="2:18" s="7" customFormat="1" ht="25.5" customHeight="1" x14ac:dyDescent="0.25">
      <c r="B33" s="230" t="s">
        <v>244</v>
      </c>
      <c r="C33" s="231"/>
      <c r="D33" s="231"/>
      <c r="E33" s="231"/>
      <c r="F33" s="231"/>
      <c r="G33" s="231"/>
      <c r="H33" s="231"/>
      <c r="I33" s="231"/>
      <c r="J33" s="231"/>
      <c r="K33" s="231"/>
      <c r="L33" s="231"/>
      <c r="M33" s="231"/>
      <c r="N33" s="231"/>
      <c r="O33" s="231"/>
      <c r="P33" s="231"/>
      <c r="Q33" s="231"/>
      <c r="R33" s="232"/>
    </row>
    <row r="34" spans="2:18" s="7" customFormat="1" ht="15.75" x14ac:dyDescent="0.25">
      <c r="B34" s="233" t="s">
        <v>0</v>
      </c>
      <c r="C34" s="234"/>
      <c r="D34" s="234"/>
      <c r="E34" s="234"/>
      <c r="F34" s="234"/>
      <c r="G34" s="235"/>
      <c r="H34" s="236"/>
      <c r="I34" s="233" t="s">
        <v>1</v>
      </c>
      <c r="J34" s="234"/>
      <c r="K34" s="234"/>
      <c r="L34" s="235"/>
      <c r="M34" s="236"/>
      <c r="N34" s="233" t="s">
        <v>2</v>
      </c>
      <c r="O34" s="234"/>
      <c r="P34" s="234"/>
      <c r="Q34" s="234"/>
      <c r="R34" s="235"/>
    </row>
    <row r="35" spans="2:18" s="7" customFormat="1" ht="15.75" x14ac:dyDescent="0.25">
      <c r="B35" s="8" t="s">
        <v>3</v>
      </c>
      <c r="C35" s="9" t="s">
        <v>4</v>
      </c>
      <c r="D35" s="9" t="s">
        <v>5</v>
      </c>
      <c r="E35" s="9" t="s">
        <v>6</v>
      </c>
      <c r="F35" s="9" t="s">
        <v>7</v>
      </c>
      <c r="G35" s="9" t="s">
        <v>251</v>
      </c>
      <c r="H35" s="237"/>
      <c r="I35" s="8" t="s">
        <v>3</v>
      </c>
      <c r="J35" s="9" t="s">
        <v>249</v>
      </c>
      <c r="K35" s="9" t="s">
        <v>7</v>
      </c>
      <c r="L35" s="10" t="s">
        <v>250</v>
      </c>
      <c r="M35" s="237"/>
      <c r="N35" s="8" t="s">
        <v>3</v>
      </c>
      <c r="O35" s="9" t="s">
        <v>6</v>
      </c>
      <c r="P35" s="9" t="s">
        <v>5</v>
      </c>
      <c r="Q35" s="9" t="s">
        <v>7</v>
      </c>
      <c r="R35" s="10" t="s">
        <v>251</v>
      </c>
    </row>
    <row r="36" spans="2:18" s="7" customFormat="1" ht="30" x14ac:dyDescent="0.25">
      <c r="B36" s="16" t="s">
        <v>11</v>
      </c>
      <c r="C36" s="12" t="s">
        <v>8</v>
      </c>
      <c r="D36" s="12" t="s">
        <v>9</v>
      </c>
      <c r="E36" s="13" t="s">
        <v>30</v>
      </c>
      <c r="F36" s="17">
        <v>250</v>
      </c>
      <c r="G36" s="18" t="s">
        <v>12</v>
      </c>
      <c r="H36" s="237"/>
      <c r="I36" s="154" t="s">
        <v>216</v>
      </c>
      <c r="J36" s="152" t="s">
        <v>217</v>
      </c>
      <c r="K36" s="153">
        <f>F32*10^3/F36</f>
        <v>40000</v>
      </c>
      <c r="L36" s="155" t="s">
        <v>9</v>
      </c>
      <c r="M36" s="237"/>
      <c r="N36" s="131" t="s">
        <v>13</v>
      </c>
      <c r="O36" s="26" t="s">
        <v>222</v>
      </c>
      <c r="P36" s="157" t="s">
        <v>219</v>
      </c>
      <c r="Q36" s="156">
        <f ca="1">_xll.RiskPoisson(Q26/K36)</f>
        <v>12406</v>
      </c>
      <c r="R36" s="167" t="s">
        <v>15</v>
      </c>
    </row>
    <row r="37" spans="2:18" s="7" customFormat="1" ht="16.5" x14ac:dyDescent="0.25">
      <c r="B37" s="16"/>
      <c r="C37" s="12"/>
      <c r="D37" s="12"/>
      <c r="E37" s="13"/>
      <c r="F37" s="14"/>
      <c r="G37" s="15"/>
      <c r="H37" s="237"/>
      <c r="I37" s="8"/>
      <c r="J37" s="9"/>
      <c r="K37" s="9"/>
      <c r="L37" s="10"/>
      <c r="M37" s="237"/>
      <c r="N37" s="239" t="s">
        <v>218</v>
      </c>
      <c r="O37" s="12" t="s">
        <v>223</v>
      </c>
      <c r="P37" s="157" t="s">
        <v>220</v>
      </c>
      <c r="Q37" s="187">
        <f ca="1">Q36/F36</f>
        <v>49.624000000000002</v>
      </c>
      <c r="R37" s="170" t="s">
        <v>54</v>
      </c>
    </row>
    <row r="38" spans="2:18" s="7" customFormat="1" ht="36" customHeight="1" x14ac:dyDescent="0.25">
      <c r="B38" s="16"/>
      <c r="C38" s="12"/>
      <c r="D38" s="12"/>
      <c r="E38" s="13"/>
      <c r="F38" s="14"/>
      <c r="G38" s="15"/>
      <c r="H38" s="237"/>
      <c r="I38" s="8"/>
      <c r="J38" s="9"/>
      <c r="K38" s="9"/>
      <c r="L38" s="10"/>
      <c r="M38" s="237"/>
      <c r="N38" s="239"/>
      <c r="O38" s="12"/>
      <c r="P38" s="157" t="s">
        <v>57</v>
      </c>
      <c r="Q38" s="225">
        <f ca="1">IF(Q37=0,-10,LOG(Q37))</f>
        <v>1.6956917681569101</v>
      </c>
      <c r="R38" s="167" t="s">
        <v>58</v>
      </c>
    </row>
    <row r="39" spans="2:18" s="7" customFormat="1" ht="36.75" customHeight="1" x14ac:dyDescent="0.25">
      <c r="B39" s="16"/>
      <c r="C39" s="12"/>
      <c r="D39" s="12"/>
      <c r="E39" s="13"/>
      <c r="F39" s="17"/>
      <c r="G39" s="18"/>
      <c r="H39" s="238"/>
      <c r="I39" s="19"/>
      <c r="J39" s="12"/>
      <c r="K39" s="18"/>
      <c r="L39" s="20"/>
      <c r="M39" s="238"/>
      <c r="N39" s="130" t="s">
        <v>27</v>
      </c>
      <c r="O39" s="219" t="s">
        <v>224</v>
      </c>
      <c r="P39" s="158" t="s">
        <v>221</v>
      </c>
      <c r="Q39" s="68">
        <f ca="1">1-_xll.RiskTarget(Q36,0)</f>
        <v>1</v>
      </c>
      <c r="R39" s="177" t="s">
        <v>215</v>
      </c>
    </row>
    <row r="40" spans="2:18" s="7" customFormat="1" ht="25.5" customHeight="1" x14ac:dyDescent="0.25">
      <c r="B40" s="243" t="s">
        <v>245</v>
      </c>
      <c r="C40" s="244"/>
      <c r="D40" s="244"/>
      <c r="E40" s="244"/>
      <c r="F40" s="244"/>
      <c r="G40" s="244"/>
      <c r="H40" s="244"/>
      <c r="I40" s="244"/>
      <c r="J40" s="244"/>
      <c r="K40" s="244"/>
      <c r="L40" s="244"/>
      <c r="M40" s="244"/>
      <c r="N40" s="244"/>
      <c r="O40" s="244"/>
      <c r="P40" s="244"/>
      <c r="Q40" s="244"/>
      <c r="R40" s="245"/>
    </row>
    <row r="41" spans="2:18" s="7" customFormat="1" ht="15.75" x14ac:dyDescent="0.25">
      <c r="B41" s="233" t="s">
        <v>0</v>
      </c>
      <c r="C41" s="234"/>
      <c r="D41" s="234"/>
      <c r="E41" s="234"/>
      <c r="F41" s="234"/>
      <c r="G41" s="235"/>
      <c r="H41" s="236"/>
      <c r="I41" s="233" t="s">
        <v>1</v>
      </c>
      <c r="J41" s="234"/>
      <c r="K41" s="234"/>
      <c r="L41" s="234"/>
      <c r="M41" s="39"/>
      <c r="N41" s="240" t="s">
        <v>2</v>
      </c>
      <c r="O41" s="241"/>
      <c r="P41" s="241"/>
      <c r="Q41" s="241"/>
      <c r="R41" s="242"/>
    </row>
    <row r="42" spans="2:18" s="7" customFormat="1" ht="15.75" x14ac:dyDescent="0.25">
      <c r="B42" s="8" t="s">
        <v>3</v>
      </c>
      <c r="C42" s="9" t="s">
        <v>4</v>
      </c>
      <c r="D42" s="9" t="s">
        <v>5</v>
      </c>
      <c r="E42" s="9" t="s">
        <v>6</v>
      </c>
      <c r="F42" s="9" t="s">
        <v>7</v>
      </c>
      <c r="G42" s="9" t="s">
        <v>251</v>
      </c>
      <c r="H42" s="237"/>
      <c r="I42" s="8" t="s">
        <v>3</v>
      </c>
      <c r="J42" s="9" t="s">
        <v>249</v>
      </c>
      <c r="K42" s="9" t="s">
        <v>7</v>
      </c>
      <c r="L42" s="10" t="s">
        <v>250</v>
      </c>
      <c r="M42" s="40"/>
      <c r="N42" s="8" t="s">
        <v>3</v>
      </c>
      <c r="O42" s="9" t="s">
        <v>6</v>
      </c>
      <c r="P42" s="9" t="s">
        <v>5</v>
      </c>
      <c r="Q42" s="9" t="s">
        <v>7</v>
      </c>
      <c r="R42" s="10" t="s">
        <v>251</v>
      </c>
    </row>
    <row r="43" spans="2:18" s="7" customFormat="1" ht="25.5" x14ac:dyDescent="0.25">
      <c r="B43" s="11" t="s">
        <v>16</v>
      </c>
      <c r="C43" s="12" t="s">
        <v>8</v>
      </c>
      <c r="D43" s="12" t="s">
        <v>9</v>
      </c>
      <c r="E43" s="12" t="s">
        <v>31</v>
      </c>
      <c r="F43" s="24">
        <v>10</v>
      </c>
      <c r="G43" s="22" t="s">
        <v>17</v>
      </c>
      <c r="H43" s="237"/>
      <c r="I43" s="25" t="s">
        <v>38</v>
      </c>
      <c r="J43" s="26" t="s">
        <v>159</v>
      </c>
      <c r="K43" s="53">
        <f ca="1">LOG(F44)-(F45-F46)/F47+F48</f>
        <v>5.2418280198087808E-2</v>
      </c>
      <c r="L43" s="12" t="s">
        <v>9</v>
      </c>
      <c r="M43" s="30"/>
      <c r="N43" s="21" t="s">
        <v>19</v>
      </c>
      <c r="O43" s="26" t="s">
        <v>35</v>
      </c>
      <c r="P43" s="26" t="s">
        <v>36</v>
      </c>
      <c r="Q43" s="67">
        <f ca="1">_xll.RiskOutput("[N4]pu")+_xll.RiskPoisson(Q36*10^-K45)</f>
        <v>0</v>
      </c>
      <c r="R43" s="22" t="s">
        <v>15</v>
      </c>
    </row>
    <row r="44" spans="2:18" s="7" customFormat="1" ht="25.5" x14ac:dyDescent="0.25">
      <c r="B44" s="16" t="s">
        <v>20</v>
      </c>
      <c r="C44" s="12" t="s">
        <v>14</v>
      </c>
      <c r="D44" s="44" t="s">
        <v>175</v>
      </c>
      <c r="E44" s="44" t="s">
        <v>21</v>
      </c>
      <c r="F44" s="87">
        <f ca="1">_xll.RiskLognorm(5,10)</f>
        <v>5</v>
      </c>
      <c r="G44" s="22" t="s">
        <v>17</v>
      </c>
      <c r="H44" s="237"/>
      <c r="I44" s="25"/>
      <c r="J44" s="23" t="s">
        <v>22</v>
      </c>
      <c r="K44" s="64">
        <f ca="1">10^K43</f>
        <v>1.1282836120379263</v>
      </c>
      <c r="L44" s="12" t="s">
        <v>17</v>
      </c>
      <c r="M44" s="30"/>
      <c r="N44" s="21" t="s">
        <v>27</v>
      </c>
      <c r="O44" s="26" t="s">
        <v>34</v>
      </c>
      <c r="P44" s="26" t="s">
        <v>39</v>
      </c>
      <c r="Q44" s="68">
        <f ca="1">_xll.RiskOutput()+1-_xll.RiskTarget(Q43,0)</f>
        <v>0</v>
      </c>
      <c r="R44" s="22" t="s">
        <v>28</v>
      </c>
    </row>
    <row r="45" spans="2:18" s="7" customFormat="1" ht="42" customHeight="1" x14ac:dyDescent="0.25">
      <c r="B45" s="16" t="s">
        <v>23</v>
      </c>
      <c r="C45" s="23" t="s">
        <v>8</v>
      </c>
      <c r="D45" s="12" t="s">
        <v>9</v>
      </c>
      <c r="E45" s="12" t="s">
        <v>32</v>
      </c>
      <c r="F45" s="27">
        <v>96</v>
      </c>
      <c r="G45" s="22" t="s">
        <v>24</v>
      </c>
      <c r="H45" s="237"/>
      <c r="I45" s="25" t="s">
        <v>18</v>
      </c>
      <c r="J45" s="26" t="s">
        <v>37</v>
      </c>
      <c r="K45" s="53">
        <f ca="1">F43/K44</f>
        <v>8.863019805754174</v>
      </c>
      <c r="L45" s="88"/>
      <c r="M45" s="30"/>
      <c r="N45" s="21"/>
      <c r="O45" s="43"/>
      <c r="P45" s="15"/>
      <c r="Q45" s="89"/>
      <c r="R45" s="22"/>
    </row>
    <row r="46" spans="2:18" s="7" customFormat="1" ht="15.75" x14ac:dyDescent="0.25">
      <c r="B46" s="11" t="s">
        <v>25</v>
      </c>
      <c r="C46" s="23" t="s">
        <v>8</v>
      </c>
      <c r="D46" s="12" t="s">
        <v>9</v>
      </c>
      <c r="E46" s="12" t="s">
        <v>26</v>
      </c>
      <c r="F46" s="28">
        <v>90</v>
      </c>
      <c r="G46" s="22" t="s">
        <v>24</v>
      </c>
      <c r="H46" s="237"/>
      <c r="I46" s="90"/>
      <c r="J46" s="23"/>
      <c r="K46" s="23"/>
      <c r="L46" s="12"/>
      <c r="M46" s="30"/>
      <c r="N46" s="90"/>
      <c r="O46" s="88"/>
      <c r="P46" s="88"/>
      <c r="Q46" s="88"/>
      <c r="R46" s="91"/>
    </row>
    <row r="47" spans="2:18" s="7" customFormat="1" ht="15.75" x14ac:dyDescent="0.25">
      <c r="B47" s="11" t="s">
        <v>29</v>
      </c>
      <c r="C47" s="23" t="s">
        <v>8</v>
      </c>
      <c r="D47" s="12" t="s">
        <v>9</v>
      </c>
      <c r="E47" s="12" t="s">
        <v>33</v>
      </c>
      <c r="F47" s="28">
        <v>9.2799999999999994</v>
      </c>
      <c r="G47" s="22" t="s">
        <v>24</v>
      </c>
      <c r="H47" s="237"/>
      <c r="I47" s="19"/>
      <c r="J47" s="12"/>
      <c r="K47" s="29"/>
      <c r="L47" s="12"/>
      <c r="M47" s="30"/>
      <c r="N47" s="42"/>
      <c r="O47" s="15"/>
      <c r="P47" s="23"/>
      <c r="Q47" s="15"/>
      <c r="R47" s="22"/>
    </row>
    <row r="48" spans="2:18" s="7" customFormat="1" ht="27" customHeight="1" x14ac:dyDescent="0.25">
      <c r="B48" s="62" t="s">
        <v>78</v>
      </c>
      <c r="C48" s="31" t="s">
        <v>14</v>
      </c>
      <c r="D48" s="44" t="s">
        <v>129</v>
      </c>
      <c r="E48" s="44" t="s">
        <v>128</v>
      </c>
      <c r="F48" s="85">
        <f ca="1">_xll.RiskNormal(0,0.06)</f>
        <v>0</v>
      </c>
      <c r="G48" s="35" t="s">
        <v>9</v>
      </c>
      <c r="H48" s="238"/>
      <c r="I48" s="92"/>
      <c r="J48" s="93"/>
      <c r="K48" s="93"/>
      <c r="L48" s="31"/>
      <c r="M48" s="41"/>
      <c r="N48" s="34"/>
      <c r="O48" s="33"/>
      <c r="P48" s="32"/>
      <c r="Q48" s="33"/>
      <c r="R48" s="35"/>
    </row>
    <row r="49" spans="2:18" s="114" customFormat="1" ht="24.75" customHeight="1" x14ac:dyDescent="0.3">
      <c r="B49" s="246" t="s">
        <v>246</v>
      </c>
      <c r="C49" s="247"/>
      <c r="D49" s="247"/>
      <c r="E49" s="247"/>
      <c r="F49" s="247"/>
      <c r="G49" s="247"/>
      <c r="H49" s="247"/>
      <c r="I49" s="247"/>
      <c r="J49" s="247"/>
      <c r="K49" s="247"/>
      <c r="L49" s="247"/>
      <c r="M49" s="247"/>
      <c r="N49" s="247"/>
      <c r="O49" s="247"/>
      <c r="P49" s="247"/>
      <c r="Q49" s="247"/>
      <c r="R49" s="248"/>
    </row>
    <row r="50" spans="2:18" x14ac:dyDescent="0.3">
      <c r="B50" s="233" t="s">
        <v>0</v>
      </c>
      <c r="C50" s="234"/>
      <c r="D50" s="234"/>
      <c r="E50" s="234"/>
      <c r="F50" s="234"/>
      <c r="G50" s="235"/>
      <c r="H50" s="236"/>
      <c r="I50" s="233" t="s">
        <v>1</v>
      </c>
      <c r="J50" s="234"/>
      <c r="K50" s="234"/>
      <c r="L50" s="234"/>
      <c r="M50" s="39"/>
      <c r="N50" s="240" t="s">
        <v>2</v>
      </c>
      <c r="O50" s="241"/>
      <c r="P50" s="241"/>
      <c r="Q50" s="241"/>
      <c r="R50" s="242"/>
    </row>
    <row r="51" spans="2:18" x14ac:dyDescent="0.3">
      <c r="B51" s="8" t="s">
        <v>3</v>
      </c>
      <c r="C51" s="9" t="s">
        <v>4</v>
      </c>
      <c r="D51" s="9" t="s">
        <v>5</v>
      </c>
      <c r="E51" s="9" t="s">
        <v>6</v>
      </c>
      <c r="F51" s="9" t="s">
        <v>7</v>
      </c>
      <c r="G51" s="9" t="s">
        <v>251</v>
      </c>
      <c r="H51" s="237"/>
      <c r="I51" s="8" t="s">
        <v>3</v>
      </c>
      <c r="J51" s="9" t="s">
        <v>249</v>
      </c>
      <c r="K51" s="9" t="s">
        <v>7</v>
      </c>
      <c r="L51" s="10" t="s">
        <v>250</v>
      </c>
      <c r="M51" s="40"/>
      <c r="N51" s="8" t="s">
        <v>3</v>
      </c>
      <c r="O51" s="9" t="s">
        <v>6</v>
      </c>
      <c r="P51" s="9" t="s">
        <v>5</v>
      </c>
      <c r="Q51" s="9" t="s">
        <v>7</v>
      </c>
      <c r="R51" s="10" t="s">
        <v>251</v>
      </c>
    </row>
    <row r="52" spans="2:18" ht="60.75" customHeight="1" x14ac:dyDescent="0.3">
      <c r="B52" s="16" t="s">
        <v>132</v>
      </c>
      <c r="C52" s="12" t="s">
        <v>14</v>
      </c>
      <c r="D52" s="44" t="s">
        <v>40</v>
      </c>
      <c r="E52" s="44" t="s">
        <v>41</v>
      </c>
      <c r="F52" s="87">
        <f ca="1">_xll.RiskUniform(48,192)</f>
        <v>120</v>
      </c>
      <c r="G52" s="22" t="s">
        <v>42</v>
      </c>
      <c r="H52" s="237"/>
      <c r="I52" s="25" t="s">
        <v>43</v>
      </c>
      <c r="J52" s="65" t="s">
        <v>44</v>
      </c>
      <c r="K52" s="66">
        <f ca="1">_xll.RiskOutput()+IF(F58*((F53-F56)/(F57-F56))^2*((F55-F60)/(F59-F60))^2+F61&lt;0,0,F58*((F53-F56)/(F57-F56))^2*((F55-F60)/(F59-F60))^2+F61)</f>
        <v>1.4834825210045565E-3</v>
      </c>
      <c r="L52" s="12" t="s">
        <v>45</v>
      </c>
      <c r="M52" s="30"/>
      <c r="N52" s="21" t="s">
        <v>46</v>
      </c>
      <c r="O52" s="26" t="s">
        <v>35</v>
      </c>
      <c r="P52" s="26" t="s">
        <v>47</v>
      </c>
      <c r="Q52" s="67">
        <f ca="1">_xll.RiskOutput(,Q43,1)+IF(F54&lt;F52,Q43,IF(Q43*EXP(K52*(F54-F52))&gt;10000000000,10000000000,Q43*EXP(K52*(F54-F52))))</f>
        <v>0</v>
      </c>
      <c r="R52" s="22" t="s">
        <v>15</v>
      </c>
    </row>
    <row r="53" spans="2:18" ht="34.5" customHeight="1" thickBot="1" x14ac:dyDescent="0.35">
      <c r="B53" s="16" t="s">
        <v>48</v>
      </c>
      <c r="C53" s="12" t="s">
        <v>14</v>
      </c>
      <c r="D53" s="44" t="s">
        <v>49</v>
      </c>
      <c r="E53" s="44" t="s">
        <v>50</v>
      </c>
      <c r="F53" s="86">
        <f ca="1">_xll.RiskNormal(6,2)</f>
        <v>6</v>
      </c>
      <c r="G53" s="22" t="s">
        <v>24</v>
      </c>
      <c r="H53" s="237"/>
      <c r="I53" s="25"/>
      <c r="J53" s="23"/>
      <c r="K53" s="37"/>
      <c r="L53" s="12"/>
      <c r="M53" s="30"/>
      <c r="N53" s="47" t="s">
        <v>51</v>
      </c>
      <c r="O53" s="48" t="s">
        <v>52</v>
      </c>
      <c r="P53" s="26" t="s">
        <v>53</v>
      </c>
      <c r="Q53" s="69">
        <f ca="1">_xll.RiskOutput(,Q52,2)+Q52/F36</f>
        <v>0</v>
      </c>
      <c r="R53" s="49" t="s">
        <v>54</v>
      </c>
    </row>
    <row r="54" spans="2:18" ht="27" thickTop="1" thickBot="1" x14ac:dyDescent="0.35">
      <c r="B54" s="16" t="s">
        <v>55</v>
      </c>
      <c r="C54" s="23" t="s">
        <v>8</v>
      </c>
      <c r="D54" s="12" t="s">
        <v>9</v>
      </c>
      <c r="E54" s="50" t="s">
        <v>56</v>
      </c>
      <c r="F54" s="27">
        <f>21*24</f>
        <v>504</v>
      </c>
      <c r="G54" s="94" t="s">
        <v>42</v>
      </c>
      <c r="H54" s="237"/>
      <c r="I54" s="25"/>
      <c r="J54" s="23"/>
      <c r="K54" s="37"/>
      <c r="L54" s="12"/>
      <c r="M54" s="30"/>
      <c r="N54" s="21"/>
      <c r="O54" s="26"/>
      <c r="P54" s="87" t="s">
        <v>57</v>
      </c>
      <c r="Q54" s="96">
        <f ca="1">_xll.RiskOutput()+IF(Q53=0,-10,LOG(Q53))</f>
        <v>-10</v>
      </c>
      <c r="R54" s="97" t="s">
        <v>58</v>
      </c>
    </row>
    <row r="55" spans="2:18" ht="33" customHeight="1" thickTop="1" x14ac:dyDescent="0.3">
      <c r="B55" s="11" t="s">
        <v>59</v>
      </c>
      <c r="C55" s="23" t="s">
        <v>8</v>
      </c>
      <c r="D55" s="12" t="s">
        <v>9</v>
      </c>
      <c r="E55" s="12" t="s">
        <v>60</v>
      </c>
      <c r="F55" s="124">
        <v>5.5</v>
      </c>
      <c r="G55" s="22"/>
      <c r="H55" s="237"/>
      <c r="I55" s="52"/>
      <c r="J55" s="26"/>
      <c r="K55" s="53"/>
      <c r="L55" s="88"/>
      <c r="M55" s="30"/>
      <c r="N55" s="21" t="s">
        <v>27</v>
      </c>
      <c r="O55" s="26" t="s">
        <v>34</v>
      </c>
      <c r="P55" s="26" t="s">
        <v>39</v>
      </c>
      <c r="Q55" s="68">
        <f ca="1">_xll.RiskOutput()+1-_xll.RiskTarget(Q52,0)</f>
        <v>0</v>
      </c>
      <c r="R55" s="22" t="s">
        <v>28</v>
      </c>
    </row>
    <row r="56" spans="2:18" ht="56.25" customHeight="1" x14ac:dyDescent="0.3">
      <c r="B56" s="16" t="s">
        <v>61</v>
      </c>
      <c r="C56" s="12" t="s">
        <v>14</v>
      </c>
      <c r="D56" s="44" t="s">
        <v>62</v>
      </c>
      <c r="E56" s="44" t="s">
        <v>63</v>
      </c>
      <c r="F56" s="86">
        <f ca="1">_xll.RiskNormal(4,0.2)</f>
        <v>4</v>
      </c>
      <c r="G56" s="49" t="s">
        <v>24</v>
      </c>
      <c r="H56" s="237"/>
      <c r="I56" s="52"/>
      <c r="J56" s="26"/>
      <c r="K56" s="53"/>
      <c r="L56" s="88"/>
      <c r="M56" s="30"/>
      <c r="N56" s="54" t="s">
        <v>64</v>
      </c>
      <c r="O56" s="26" t="s">
        <v>130</v>
      </c>
      <c r="P56" s="26" t="s">
        <v>65</v>
      </c>
      <c r="Q56" s="116">
        <f ca="1">1-_xll.RiskTarget(Q54,5)</f>
        <v>0</v>
      </c>
      <c r="R56" s="22" t="s">
        <v>28</v>
      </c>
    </row>
    <row r="57" spans="2:18" ht="25.5" x14ac:dyDescent="0.3">
      <c r="B57" s="16" t="s">
        <v>66</v>
      </c>
      <c r="C57" s="23" t="s">
        <v>8</v>
      </c>
      <c r="D57" s="12" t="s">
        <v>9</v>
      </c>
      <c r="E57" s="50" t="s">
        <v>67</v>
      </c>
      <c r="F57" s="55">
        <v>37</v>
      </c>
      <c r="G57" s="49" t="s">
        <v>24</v>
      </c>
      <c r="H57" s="237"/>
      <c r="I57" s="52"/>
      <c r="J57" s="26"/>
      <c r="K57" s="53"/>
      <c r="L57" s="88"/>
      <c r="M57" s="30"/>
      <c r="N57" s="21"/>
      <c r="O57" s="43"/>
      <c r="P57" s="15"/>
      <c r="Q57" s="89"/>
      <c r="R57" s="22"/>
    </row>
    <row r="58" spans="2:18" x14ac:dyDescent="0.3">
      <c r="B58" s="47" t="s">
        <v>68</v>
      </c>
      <c r="C58" s="50" t="s">
        <v>8</v>
      </c>
      <c r="D58" s="50" t="s">
        <v>9</v>
      </c>
      <c r="E58" s="50" t="s">
        <v>69</v>
      </c>
      <c r="F58" s="56">
        <v>1.8</v>
      </c>
      <c r="G58" s="49" t="s">
        <v>70</v>
      </c>
      <c r="H58" s="237"/>
      <c r="I58" s="52"/>
      <c r="J58" s="26"/>
      <c r="K58" s="53"/>
      <c r="L58" s="88"/>
      <c r="M58" s="30"/>
      <c r="N58" s="21"/>
      <c r="O58" s="43"/>
      <c r="P58" s="15"/>
      <c r="Q58" s="89"/>
      <c r="R58" s="22"/>
    </row>
    <row r="59" spans="2:18" x14ac:dyDescent="0.3">
      <c r="B59" s="47" t="s">
        <v>71</v>
      </c>
      <c r="C59" s="50" t="s">
        <v>8</v>
      </c>
      <c r="D59" s="50" t="s">
        <v>9</v>
      </c>
      <c r="E59" s="50" t="s">
        <v>72</v>
      </c>
      <c r="F59" s="57">
        <v>6.5</v>
      </c>
      <c r="G59" s="51" t="s">
        <v>9</v>
      </c>
      <c r="H59" s="237"/>
      <c r="I59" s="52"/>
      <c r="J59" s="26"/>
      <c r="K59" s="53"/>
      <c r="L59" s="88"/>
      <c r="M59" s="30"/>
      <c r="N59" s="21"/>
      <c r="O59" s="43"/>
      <c r="P59" s="15"/>
      <c r="Q59" s="89"/>
      <c r="R59" s="22"/>
    </row>
    <row r="60" spans="2:18" x14ac:dyDescent="0.3">
      <c r="B60" s="47" t="s">
        <v>73</v>
      </c>
      <c r="C60" s="50" t="s">
        <v>8</v>
      </c>
      <c r="D60" s="50" t="s">
        <v>9</v>
      </c>
      <c r="E60" s="50" t="s">
        <v>74</v>
      </c>
      <c r="F60" s="58">
        <v>4.5999999999999996</v>
      </c>
      <c r="G60" s="51" t="s">
        <v>9</v>
      </c>
      <c r="H60" s="237"/>
      <c r="I60" s="52"/>
      <c r="J60" s="26"/>
      <c r="K60" s="53"/>
      <c r="L60" s="88"/>
      <c r="M60" s="30"/>
      <c r="N60" s="21"/>
      <c r="O60" s="43"/>
      <c r="P60" s="15"/>
      <c r="Q60" s="89"/>
      <c r="R60" s="22"/>
    </row>
    <row r="61" spans="2:18" x14ac:dyDescent="0.3">
      <c r="B61" s="59" t="s">
        <v>75</v>
      </c>
      <c r="C61" s="60" t="s">
        <v>14</v>
      </c>
      <c r="D61" s="45" t="s">
        <v>76</v>
      </c>
      <c r="E61" s="45" t="s">
        <v>77</v>
      </c>
      <c r="F61" s="98">
        <f ca="1">_xll.RiskNormal(0,0.01)</f>
        <v>0</v>
      </c>
      <c r="G61" s="61" t="s">
        <v>9</v>
      </c>
      <c r="H61" s="238"/>
      <c r="I61" s="92"/>
      <c r="J61" s="32"/>
      <c r="K61" s="31"/>
      <c r="L61" s="31"/>
      <c r="M61" s="41"/>
      <c r="N61" s="92"/>
      <c r="O61" s="93"/>
      <c r="P61" s="93"/>
      <c r="Q61" s="93"/>
      <c r="R61" s="95"/>
    </row>
    <row r="62" spans="2:18" x14ac:dyDescent="0.3">
      <c r="B62" s="77"/>
      <c r="C62" s="50"/>
      <c r="D62" s="80"/>
      <c r="E62" s="80"/>
      <c r="F62" s="81"/>
      <c r="G62" s="78"/>
      <c r="H62" s="79"/>
      <c r="I62" s="38"/>
      <c r="J62" s="23"/>
      <c r="K62" s="12"/>
      <c r="L62" s="12"/>
      <c r="M62" s="15"/>
      <c r="N62" s="38"/>
      <c r="O62" s="38"/>
      <c r="P62" s="38"/>
      <c r="Q62" s="38"/>
      <c r="R62" s="38"/>
    </row>
    <row r="63" spans="2:18" ht="18.75" customHeight="1" x14ac:dyDescent="0.3">
      <c r="B63" s="77"/>
      <c r="C63" s="50"/>
      <c r="D63" s="80"/>
      <c r="E63" s="80"/>
      <c r="F63" s="81"/>
      <c r="G63" s="78"/>
      <c r="H63" s="79"/>
      <c r="I63" s="38"/>
      <c r="J63" s="23"/>
      <c r="K63" s="12"/>
      <c r="L63" s="12"/>
      <c r="M63" s="15"/>
      <c r="O63" s="249" t="s">
        <v>158</v>
      </c>
      <c r="P63" s="249"/>
      <c r="Q63" s="249"/>
      <c r="R63" s="249"/>
    </row>
    <row r="64" spans="2:18" x14ac:dyDescent="0.3">
      <c r="N64" s="83"/>
      <c r="O64" s="249"/>
      <c r="P64" s="249"/>
      <c r="Q64" s="249"/>
      <c r="R64" s="249"/>
    </row>
    <row r="65" spans="3:18" ht="24.75" customHeight="1" x14ac:dyDescent="0.3">
      <c r="C65" s="2"/>
      <c r="N65" s="3"/>
    </row>
    <row r="66" spans="3:18" ht="20.25" customHeight="1" x14ac:dyDescent="0.3">
      <c r="N66" s="3"/>
      <c r="O66" s="253" t="s">
        <v>141</v>
      </c>
      <c r="P66" s="251" t="s">
        <v>142</v>
      </c>
      <c r="Q66" s="252"/>
    </row>
    <row r="67" spans="3:18" x14ac:dyDescent="0.3">
      <c r="C67" s="2"/>
      <c r="N67" s="3"/>
      <c r="O67" s="253"/>
      <c r="P67" s="251"/>
      <c r="Q67" s="252"/>
      <c r="R67" s="71"/>
    </row>
    <row r="68" spans="3:18" x14ac:dyDescent="0.3">
      <c r="C68" s="2"/>
      <c r="M68" s="70">
        <v>0.01</v>
      </c>
      <c r="N68" s="3"/>
      <c r="O68" s="254"/>
      <c r="P68" s="76" t="s">
        <v>134</v>
      </c>
      <c r="Q68" s="76" t="s">
        <v>133</v>
      </c>
    </row>
    <row r="69" spans="3:18" x14ac:dyDescent="0.3">
      <c r="C69" s="2"/>
      <c r="M69" s="70">
        <v>0.01</v>
      </c>
      <c r="N69" s="3"/>
      <c r="O69" s="82" t="s">
        <v>136</v>
      </c>
      <c r="P69" s="115">
        <v>1.9E-2</v>
      </c>
      <c r="Q69" s="115">
        <v>4.5999999999999999E-2</v>
      </c>
    </row>
    <row r="70" spans="3:18" x14ac:dyDescent="0.3">
      <c r="C70" s="2"/>
      <c r="N70" s="3"/>
      <c r="O70" s="82" t="s">
        <v>135</v>
      </c>
      <c r="P70" s="115">
        <v>8.0000000000000002E-3</v>
      </c>
      <c r="Q70" s="115">
        <v>1.4E-2</v>
      </c>
    </row>
    <row r="71" spans="3:18" x14ac:dyDescent="0.3">
      <c r="C71" s="2"/>
    </row>
    <row r="73" spans="3:18" x14ac:dyDescent="0.3">
      <c r="D73" s="255"/>
      <c r="E73" s="255"/>
      <c r="F73" s="255"/>
      <c r="G73" s="255"/>
    </row>
    <row r="74" spans="3:18" x14ac:dyDescent="0.3">
      <c r="D74" s="255"/>
      <c r="E74" s="255"/>
      <c r="F74" s="72"/>
      <c r="G74" s="72"/>
    </row>
    <row r="75" spans="3:18" x14ac:dyDescent="0.3">
      <c r="D75" s="256"/>
      <c r="E75" s="73"/>
      <c r="F75" s="74"/>
      <c r="G75" s="75"/>
    </row>
    <row r="76" spans="3:18" x14ac:dyDescent="0.3">
      <c r="D76" s="256"/>
      <c r="E76" s="73"/>
      <c r="F76" s="74"/>
      <c r="G76" s="75"/>
    </row>
    <row r="80" spans="3:18" x14ac:dyDescent="0.3">
      <c r="C80" s="250" t="s">
        <v>170</v>
      </c>
      <c r="D80" s="250"/>
      <c r="E80" s="250"/>
      <c r="F80" s="250"/>
      <c r="G80" s="250"/>
      <c r="H80" s="250"/>
      <c r="I80" s="250"/>
    </row>
    <row r="81" spans="3:18" x14ac:dyDescent="0.3">
      <c r="C81" s="250"/>
      <c r="D81" s="250"/>
      <c r="E81" s="250"/>
      <c r="F81" s="250"/>
      <c r="G81" s="250"/>
      <c r="H81" s="250"/>
      <c r="I81" s="250"/>
    </row>
    <row r="84" spans="3:18" ht="4.5" customHeight="1" x14ac:dyDescent="0.3"/>
    <row r="85" spans="3:18" ht="10.5" customHeight="1" x14ac:dyDescent="0.3"/>
    <row r="88" spans="3:18" ht="18.75" customHeight="1" x14ac:dyDescent="0.3">
      <c r="O88" s="249" t="s">
        <v>157</v>
      </c>
      <c r="P88" s="249"/>
      <c r="Q88" s="249"/>
      <c r="R88" s="249"/>
    </row>
    <row r="89" spans="3:18" x14ac:dyDescent="0.3">
      <c r="N89" s="83"/>
      <c r="O89" s="249"/>
      <c r="P89" s="249"/>
      <c r="Q89" s="249"/>
      <c r="R89" s="249"/>
    </row>
    <row r="90" spans="3:18" x14ac:dyDescent="0.3">
      <c r="N90" s="83"/>
      <c r="O90" s="83"/>
      <c r="P90" s="83"/>
      <c r="Q90" s="83"/>
      <c r="R90" s="83"/>
    </row>
    <row r="101" spans="3:9" x14ac:dyDescent="0.3">
      <c r="C101" s="250" t="s">
        <v>169</v>
      </c>
      <c r="D101" s="250"/>
      <c r="E101" s="250"/>
      <c r="F101" s="250"/>
      <c r="G101" s="250"/>
      <c r="H101" s="250"/>
      <c r="I101" s="250"/>
    </row>
    <row r="102" spans="3:9" x14ac:dyDescent="0.3">
      <c r="C102" s="250"/>
      <c r="D102" s="250"/>
      <c r="E102" s="250"/>
      <c r="F102" s="250"/>
      <c r="G102" s="250"/>
      <c r="H102" s="250"/>
      <c r="I102" s="250"/>
    </row>
  </sheetData>
  <mergeCells count="45">
    <mergeCell ref="B23:R23"/>
    <mergeCell ref="B24:G24"/>
    <mergeCell ref="H24:H32"/>
    <mergeCell ref="I24:L24"/>
    <mergeCell ref="M24:M32"/>
    <mergeCell ref="N24:R24"/>
    <mergeCell ref="N27:N28"/>
    <mergeCell ref="O88:R89"/>
    <mergeCell ref="C80:I81"/>
    <mergeCell ref="C101:I102"/>
    <mergeCell ref="P66:Q67"/>
    <mergeCell ref="O63:R64"/>
    <mergeCell ref="O66:O68"/>
    <mergeCell ref="D73:E74"/>
    <mergeCell ref="F73:G73"/>
    <mergeCell ref="D75:D76"/>
    <mergeCell ref="B49:R49"/>
    <mergeCell ref="B50:G50"/>
    <mergeCell ref="H50:H61"/>
    <mergeCell ref="I50:L50"/>
    <mergeCell ref="N50:R50"/>
    <mergeCell ref="B21:R22"/>
    <mergeCell ref="B4:P5"/>
    <mergeCell ref="C7:N7"/>
    <mergeCell ref="C9:N9"/>
    <mergeCell ref="C10:Q10"/>
    <mergeCell ref="C11:P11"/>
    <mergeCell ref="C13:N13"/>
    <mergeCell ref="C14:Q14"/>
    <mergeCell ref="C15:P15"/>
    <mergeCell ref="C17:N17"/>
    <mergeCell ref="C18:Q18"/>
    <mergeCell ref="C19:P19"/>
    <mergeCell ref="B33:R33"/>
    <mergeCell ref="B34:G34"/>
    <mergeCell ref="H34:H39"/>
    <mergeCell ref="I34:L34"/>
    <mergeCell ref="M34:M39"/>
    <mergeCell ref="N34:R34"/>
    <mergeCell ref="N37:N38"/>
    <mergeCell ref="B40:R40"/>
    <mergeCell ref="B41:G41"/>
    <mergeCell ref="H41:H48"/>
    <mergeCell ref="I41:L41"/>
    <mergeCell ref="N41:R41"/>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13"/>
  <sheetViews>
    <sheetView showGridLines="0" zoomScale="90" zoomScaleNormal="90" workbookViewId="0">
      <selection activeCell="AF43" sqref="AF43"/>
    </sheetView>
  </sheetViews>
  <sheetFormatPr baseColWidth="10" defaultColWidth="9.140625" defaultRowHeight="15" x14ac:dyDescent="0.25"/>
  <cols>
    <col min="2" max="2" width="10.85546875" style="109" customWidth="1"/>
    <col min="3" max="4" width="9.140625" style="109"/>
  </cols>
  <sheetData>
    <row r="2" spans="2:17" ht="15" customHeight="1" x14ac:dyDescent="0.25">
      <c r="B2" s="260" t="s">
        <v>171</v>
      </c>
      <c r="C2" s="260"/>
      <c r="D2" s="260"/>
      <c r="E2" s="260"/>
      <c r="F2" s="260"/>
      <c r="G2" s="260"/>
      <c r="H2" s="260"/>
      <c r="I2" s="260"/>
      <c r="J2" s="260"/>
      <c r="K2" s="260"/>
      <c r="L2" s="260"/>
      <c r="M2" s="260"/>
      <c r="N2" s="260"/>
      <c r="O2" s="260"/>
      <c r="P2" s="260"/>
      <c r="Q2" s="260"/>
    </row>
    <row r="3" spans="2:17" ht="15.75" customHeight="1" thickBot="1" x14ac:dyDescent="0.3">
      <c r="E3" s="84"/>
      <c r="F3" s="84"/>
      <c r="G3" s="84"/>
      <c r="H3" s="84"/>
    </row>
    <row r="4" spans="2:17" x14ac:dyDescent="0.25">
      <c r="B4" s="257" t="s">
        <v>143</v>
      </c>
      <c r="C4" s="258"/>
      <c r="D4" s="258"/>
      <c r="E4" s="259" t="s">
        <v>144</v>
      </c>
      <c r="F4" s="258"/>
      <c r="G4" s="258"/>
      <c r="H4" s="258"/>
      <c r="I4" s="258"/>
      <c r="J4" s="258"/>
      <c r="K4" s="258"/>
      <c r="L4" s="258"/>
      <c r="M4" s="258"/>
      <c r="N4" s="258"/>
      <c r="O4" s="106"/>
      <c r="P4" s="106"/>
      <c r="Q4" s="107"/>
    </row>
    <row r="5" spans="2:17" ht="15.75" thickBot="1" x14ac:dyDescent="0.3">
      <c r="B5" s="190" t="s">
        <v>145</v>
      </c>
      <c r="C5" s="191" t="s">
        <v>146</v>
      </c>
      <c r="D5" s="191" t="s">
        <v>147</v>
      </c>
      <c r="E5" s="192" t="s">
        <v>7</v>
      </c>
      <c r="F5" s="191" t="s">
        <v>148</v>
      </c>
      <c r="G5" s="193" t="s">
        <v>149</v>
      </c>
      <c r="H5" s="191" t="s">
        <v>150</v>
      </c>
      <c r="I5" s="194" t="s">
        <v>151</v>
      </c>
      <c r="J5" s="195" t="s">
        <v>152</v>
      </c>
      <c r="K5" s="191" t="s">
        <v>153</v>
      </c>
      <c r="L5" s="191" t="s">
        <v>154</v>
      </c>
      <c r="M5" s="191" t="s">
        <v>155</v>
      </c>
      <c r="N5" s="191" t="s">
        <v>156</v>
      </c>
      <c r="O5" s="196">
        <v>0.05</v>
      </c>
      <c r="P5" s="197">
        <v>0.95</v>
      </c>
      <c r="Q5" s="198">
        <v>0.5</v>
      </c>
    </row>
    <row r="6" spans="2:17" x14ac:dyDescent="0.25">
      <c r="B6" s="199" t="s">
        <v>226</v>
      </c>
      <c r="C6" s="200" t="s">
        <v>238</v>
      </c>
      <c r="D6" s="200" t="s">
        <v>106</v>
      </c>
      <c r="E6" s="201">
        <v>0.05</v>
      </c>
      <c r="F6" s="202">
        <v>-8.8538679985673809</v>
      </c>
      <c r="G6" s="203">
        <v>-10</v>
      </c>
      <c r="H6" s="202">
        <v>7.6020599913279625</v>
      </c>
      <c r="I6" s="204">
        <v>-10</v>
      </c>
      <c r="J6" s="205">
        <v>-10</v>
      </c>
      <c r="K6" s="202">
        <v>3.3789664162931503</v>
      </c>
      <c r="L6" s="202">
        <v>11.417414042436974</v>
      </c>
      <c r="M6" s="202">
        <v>9.0409700469159642</v>
      </c>
      <c r="N6" s="202">
        <v>2.7470948826055426</v>
      </c>
      <c r="O6" s="203">
        <v>-10</v>
      </c>
      <c r="P6" s="202">
        <v>0.41177130692785285</v>
      </c>
      <c r="Q6" s="206">
        <v>0.41177130692785285</v>
      </c>
    </row>
    <row r="7" spans="2:17" x14ac:dyDescent="0.25">
      <c r="B7" s="207" t="s">
        <v>226</v>
      </c>
      <c r="C7" s="117" t="s">
        <v>238</v>
      </c>
      <c r="D7" s="117" t="s">
        <v>107</v>
      </c>
      <c r="E7" s="118">
        <v>0.25</v>
      </c>
      <c r="F7" s="119">
        <v>-8.8536826864481402</v>
      </c>
      <c r="G7" s="120">
        <v>-10</v>
      </c>
      <c r="H7" s="119">
        <v>7.6020599913279625</v>
      </c>
      <c r="I7" s="121">
        <v>-10</v>
      </c>
      <c r="J7" s="122">
        <v>-10</v>
      </c>
      <c r="K7" s="119">
        <v>3.3794288443048188</v>
      </c>
      <c r="L7" s="119">
        <v>11.420539313719404</v>
      </c>
      <c r="M7" s="119">
        <v>9.0389985643770512</v>
      </c>
      <c r="N7" s="119">
        <v>2.7468429720107976</v>
      </c>
      <c r="O7" s="120">
        <v>-10</v>
      </c>
      <c r="P7" s="119">
        <v>0.41177130692785285</v>
      </c>
      <c r="Q7" s="208">
        <v>0.41177130692785285</v>
      </c>
    </row>
    <row r="8" spans="2:17" x14ac:dyDescent="0.25">
      <c r="B8" s="207" t="s">
        <v>226</v>
      </c>
      <c r="C8" s="117" t="s">
        <v>238</v>
      </c>
      <c r="D8" s="117" t="s">
        <v>108</v>
      </c>
      <c r="E8" s="118">
        <v>1.25</v>
      </c>
      <c r="F8" s="119">
        <v>-8.7968626729457498</v>
      </c>
      <c r="G8" s="120">
        <v>-10</v>
      </c>
      <c r="H8" s="119">
        <v>7.6020599913279625</v>
      </c>
      <c r="I8" s="121">
        <v>-10</v>
      </c>
      <c r="J8" s="122">
        <v>-10</v>
      </c>
      <c r="K8" s="119">
        <v>3.4631062864194568</v>
      </c>
      <c r="L8" s="119">
        <v>11.993105151037961</v>
      </c>
      <c r="M8" s="119">
        <v>8.714394857816119</v>
      </c>
      <c r="N8" s="119">
        <v>2.6799887910342846</v>
      </c>
      <c r="O8" s="120">
        <v>-10</v>
      </c>
      <c r="P8" s="119">
        <v>0.45457080031425157</v>
      </c>
      <c r="Q8" s="208">
        <v>0.45457080031425157</v>
      </c>
    </row>
    <row r="9" spans="2:17" x14ac:dyDescent="0.25">
      <c r="B9" s="207" t="s">
        <v>226</v>
      </c>
      <c r="C9" s="117" t="s">
        <v>238</v>
      </c>
      <c r="D9" s="117" t="s">
        <v>109</v>
      </c>
      <c r="E9" s="118">
        <v>2.5</v>
      </c>
      <c r="F9" s="119">
        <v>-8.6380137670115502</v>
      </c>
      <c r="G9" s="120">
        <v>-10</v>
      </c>
      <c r="H9" s="119">
        <v>7.6020599913279625</v>
      </c>
      <c r="I9" s="121">
        <v>-10</v>
      </c>
      <c r="J9" s="122">
        <v>-10</v>
      </c>
      <c r="K9" s="119">
        <v>3.6700326950917002</v>
      </c>
      <c r="L9" s="119">
        <v>13.469139983042048</v>
      </c>
      <c r="M9" s="119">
        <v>7.5627513374078505</v>
      </c>
      <c r="N9" s="119">
        <v>2.4670714755647527</v>
      </c>
      <c r="O9" s="120">
        <v>-10</v>
      </c>
      <c r="P9" s="119">
        <v>1.1661339703051092</v>
      </c>
      <c r="Q9" s="208">
        <v>1.1661339703051092</v>
      </c>
    </row>
    <row r="10" spans="2:17" x14ac:dyDescent="0.25">
      <c r="B10" s="207" t="s">
        <v>226</v>
      </c>
      <c r="C10" s="117" t="s">
        <v>238</v>
      </c>
      <c r="D10" s="117" t="s">
        <v>110</v>
      </c>
      <c r="E10" s="118">
        <v>3.75</v>
      </c>
      <c r="F10" s="119">
        <v>-8.2216382434685897</v>
      </c>
      <c r="G10" s="120">
        <v>-10</v>
      </c>
      <c r="H10" s="119">
        <v>7.6020599913279625</v>
      </c>
      <c r="I10" s="121">
        <v>-10</v>
      </c>
      <c r="J10" s="122">
        <v>-10</v>
      </c>
      <c r="K10" s="119">
        <v>4.2129450399044233</v>
      </c>
      <c r="L10" s="119">
        <v>17.748905909255285</v>
      </c>
      <c r="M10" s="119">
        <v>5.6321736942637122</v>
      </c>
      <c r="N10" s="119">
        <v>2.0688519402758989</v>
      </c>
      <c r="O10" s="120">
        <v>-10</v>
      </c>
      <c r="P10" s="119">
        <v>2.3043183550100013</v>
      </c>
      <c r="Q10" s="208">
        <v>2.3043183550100013</v>
      </c>
    </row>
    <row r="11" spans="2:17" x14ac:dyDescent="0.25">
      <c r="B11" s="207" t="s">
        <v>226</v>
      </c>
      <c r="C11" s="117" t="s">
        <v>238</v>
      </c>
      <c r="D11" s="117" t="s">
        <v>111</v>
      </c>
      <c r="E11" s="118">
        <v>4.75</v>
      </c>
      <c r="F11" s="119">
        <v>-7.8215412617053088</v>
      </c>
      <c r="G11" s="120">
        <v>-10</v>
      </c>
      <c r="H11" s="119">
        <v>7.6020599913279625</v>
      </c>
      <c r="I11" s="121">
        <v>-10</v>
      </c>
      <c r="J11" s="122">
        <v>-10</v>
      </c>
      <c r="K11" s="119">
        <v>4.6717467769207985</v>
      </c>
      <c r="L11" s="119">
        <v>21.825217947669866</v>
      </c>
      <c r="M11" s="119">
        <v>4.5639630039505663</v>
      </c>
      <c r="N11" s="119">
        <v>1.8015429797449609</v>
      </c>
      <c r="O11" s="120">
        <v>-10</v>
      </c>
      <c r="P11" s="119">
        <v>3.252486716737133</v>
      </c>
      <c r="Q11" s="208">
        <v>3.252486716737133</v>
      </c>
    </row>
    <row r="12" spans="2:17" x14ac:dyDescent="0.25">
      <c r="B12" s="207" t="s">
        <v>226</v>
      </c>
      <c r="C12" s="117" t="s">
        <v>238</v>
      </c>
      <c r="D12" s="117" t="s">
        <v>112</v>
      </c>
      <c r="E12" s="118">
        <v>4.95</v>
      </c>
      <c r="F12" s="119">
        <v>-7.7121208320505623</v>
      </c>
      <c r="G12" s="120">
        <v>-10</v>
      </c>
      <c r="H12" s="119">
        <v>7.6020599913279625</v>
      </c>
      <c r="I12" s="121">
        <v>-10</v>
      </c>
      <c r="J12" s="122">
        <v>-10</v>
      </c>
      <c r="K12" s="119">
        <v>4.7929435585552884</v>
      </c>
      <c r="L12" s="119">
        <v>22.972307955496635</v>
      </c>
      <c r="M12" s="119">
        <v>4.3153920614300434</v>
      </c>
      <c r="N12" s="119">
        <v>1.7361589551118231</v>
      </c>
      <c r="O12" s="120">
        <v>-10</v>
      </c>
      <c r="P12" s="119">
        <v>3.4810830047657797</v>
      </c>
      <c r="Q12" s="208">
        <v>3.4810830047657797</v>
      </c>
    </row>
    <row r="13" spans="2:17" x14ac:dyDescent="0.25">
      <c r="B13" s="209" t="s">
        <v>230</v>
      </c>
      <c r="C13" s="110" t="s">
        <v>239</v>
      </c>
      <c r="D13" s="110" t="s">
        <v>106</v>
      </c>
      <c r="E13" s="108">
        <v>0.10193853555074001</v>
      </c>
      <c r="F13" s="105">
        <v>-8.6066816027275284</v>
      </c>
      <c r="G13" s="111">
        <v>-10</v>
      </c>
      <c r="H13" s="105">
        <v>7.6020599913279625</v>
      </c>
      <c r="I13" s="113">
        <v>-10</v>
      </c>
      <c r="J13" s="112">
        <v>-10</v>
      </c>
      <c r="K13" s="105">
        <v>3.7304858437329078</v>
      </c>
      <c r="L13" s="105">
        <v>13.916524630291626</v>
      </c>
      <c r="M13" s="105">
        <v>7.4154205392424197</v>
      </c>
      <c r="N13" s="105">
        <v>2.4399419825556894</v>
      </c>
      <c r="O13" s="111">
        <v>-10</v>
      </c>
      <c r="P13" s="105">
        <v>1.2965882736766159</v>
      </c>
      <c r="Q13" s="210">
        <v>1.2965882736766159</v>
      </c>
    </row>
    <row r="14" spans="2:17" x14ac:dyDescent="0.25">
      <c r="B14" s="209" t="s">
        <v>230</v>
      </c>
      <c r="C14" s="110" t="s">
        <v>239</v>
      </c>
      <c r="D14" s="110" t="s">
        <v>107</v>
      </c>
      <c r="E14" s="108">
        <v>0.17978311664976801</v>
      </c>
      <c r="F14" s="105">
        <v>-8.6061068232250051</v>
      </c>
      <c r="G14" s="111">
        <v>-10</v>
      </c>
      <c r="H14" s="105">
        <v>7.6020599913279625</v>
      </c>
      <c r="I14" s="113">
        <v>-10</v>
      </c>
      <c r="J14" s="112">
        <v>-10</v>
      </c>
      <c r="K14" s="105">
        <v>3.7319334411980578</v>
      </c>
      <c r="L14" s="105">
        <v>13.927327209532379</v>
      </c>
      <c r="M14" s="105">
        <v>7.4133313307254403</v>
      </c>
      <c r="N14" s="105">
        <v>2.4396673781680027</v>
      </c>
      <c r="O14" s="111">
        <v>-10</v>
      </c>
      <c r="P14" s="105">
        <v>1.2969902121429766</v>
      </c>
      <c r="Q14" s="210">
        <v>1.2969902121429766</v>
      </c>
    </row>
    <row r="15" spans="2:17" x14ac:dyDescent="0.25">
      <c r="B15" s="209" t="s">
        <v>230</v>
      </c>
      <c r="C15" s="110" t="s">
        <v>239</v>
      </c>
      <c r="D15" s="110" t="s">
        <v>108</v>
      </c>
      <c r="E15" s="108">
        <v>0.403280414258881</v>
      </c>
      <c r="F15" s="105">
        <v>-8.5876761412825147</v>
      </c>
      <c r="G15" s="111">
        <v>-10</v>
      </c>
      <c r="H15" s="105">
        <v>7.6020599913279625</v>
      </c>
      <c r="I15" s="113">
        <v>-10</v>
      </c>
      <c r="J15" s="112">
        <v>-10</v>
      </c>
      <c r="K15" s="105">
        <v>3.7486650389372667</v>
      </c>
      <c r="L15" s="105">
        <v>14.052489574150538</v>
      </c>
      <c r="M15" s="105">
        <v>7.2884001539541696</v>
      </c>
      <c r="N15" s="105">
        <v>2.4141030833133557</v>
      </c>
      <c r="O15" s="111">
        <v>-10</v>
      </c>
      <c r="P15" s="105">
        <v>1.2969902121429766</v>
      </c>
      <c r="Q15" s="210">
        <v>1.2969902121429766</v>
      </c>
    </row>
    <row r="16" spans="2:17" x14ac:dyDescent="0.25">
      <c r="B16" s="209" t="s">
        <v>230</v>
      </c>
      <c r="C16" s="110" t="s">
        <v>239</v>
      </c>
      <c r="D16" s="110" t="s">
        <v>109</v>
      </c>
      <c r="E16" s="108">
        <v>0.70710678118654702</v>
      </c>
      <c r="F16" s="105">
        <v>-8.5843742508192697</v>
      </c>
      <c r="G16" s="111">
        <v>-10</v>
      </c>
      <c r="H16" s="105">
        <v>7.6020599913279625</v>
      </c>
      <c r="I16" s="113">
        <v>-10</v>
      </c>
      <c r="J16" s="112">
        <v>-10</v>
      </c>
      <c r="K16" s="105">
        <v>3.7568432292729885</v>
      </c>
      <c r="L16" s="105">
        <v>14.113871049334298</v>
      </c>
      <c r="M16" s="105">
        <v>7.27661279266135</v>
      </c>
      <c r="N16" s="105">
        <v>2.4125229256384682</v>
      </c>
      <c r="O16" s="111">
        <v>-10</v>
      </c>
      <c r="P16" s="105">
        <v>1.2977929748149866</v>
      </c>
      <c r="Q16" s="210">
        <v>1.2977929748149866</v>
      </c>
    </row>
    <row r="17" spans="2:17" x14ac:dyDescent="0.25">
      <c r="B17" s="209" t="s">
        <v>230</v>
      </c>
      <c r="C17" s="110" t="s">
        <v>239</v>
      </c>
      <c r="D17" s="110" t="s">
        <v>110</v>
      </c>
      <c r="E17" s="108">
        <v>1.2398320928103199</v>
      </c>
      <c r="F17" s="105">
        <v>-8.543362632244099</v>
      </c>
      <c r="G17" s="111">
        <v>-10</v>
      </c>
      <c r="H17" s="105">
        <v>7.6020599913279625</v>
      </c>
      <c r="I17" s="113">
        <v>-10</v>
      </c>
      <c r="J17" s="112">
        <v>-10</v>
      </c>
      <c r="K17" s="105">
        <v>3.8134724855726785</v>
      </c>
      <c r="L17" s="105">
        <v>14.542572398219864</v>
      </c>
      <c r="M17" s="105">
        <v>7.0385011990035276</v>
      </c>
      <c r="N17" s="105">
        <v>2.3671081737171629</v>
      </c>
      <c r="O17" s="111">
        <v>-10</v>
      </c>
      <c r="P17" s="105">
        <v>1.5285451231988114</v>
      </c>
      <c r="Q17" s="210">
        <v>1.5285451231988114</v>
      </c>
    </row>
    <row r="18" spans="2:17" x14ac:dyDescent="0.25">
      <c r="B18" s="209" t="s">
        <v>230</v>
      </c>
      <c r="C18" s="110" t="s">
        <v>239</v>
      </c>
      <c r="D18" s="110" t="s">
        <v>111</v>
      </c>
      <c r="E18" s="108">
        <v>2.7811287807077099</v>
      </c>
      <c r="F18" s="105">
        <v>-8.2087192059523506</v>
      </c>
      <c r="G18" s="111">
        <v>-10</v>
      </c>
      <c r="H18" s="105">
        <v>7.6020599913279625</v>
      </c>
      <c r="I18" s="113">
        <v>-10</v>
      </c>
      <c r="J18" s="112">
        <v>-10</v>
      </c>
      <c r="K18" s="105">
        <v>4.2280644636781375</v>
      </c>
      <c r="L18" s="105">
        <v>17.876529109017898</v>
      </c>
      <c r="M18" s="105">
        <v>5.6023275606378791</v>
      </c>
      <c r="N18" s="105">
        <v>2.0600885200505603</v>
      </c>
      <c r="O18" s="111">
        <v>-10</v>
      </c>
      <c r="P18" s="105">
        <v>2.3265843289960286</v>
      </c>
      <c r="Q18" s="210">
        <v>2.3265843289960286</v>
      </c>
    </row>
    <row r="19" spans="2:17" x14ac:dyDescent="0.25">
      <c r="B19" s="209" t="s">
        <v>230</v>
      </c>
      <c r="C19" s="110" t="s">
        <v>239</v>
      </c>
      <c r="D19" s="110" t="s">
        <v>112</v>
      </c>
      <c r="E19" s="108">
        <v>4.9049164508658496</v>
      </c>
      <c r="F19" s="105">
        <v>-7.2733948380748163</v>
      </c>
      <c r="G19" s="111">
        <v>-10</v>
      </c>
      <c r="H19" s="105">
        <v>7.6020599913279625</v>
      </c>
      <c r="I19" s="113">
        <v>-10</v>
      </c>
      <c r="J19" s="112">
        <v>-10</v>
      </c>
      <c r="K19" s="105">
        <v>5.227058202535682</v>
      </c>
      <c r="L19" s="105">
        <v>27.32213745269555</v>
      </c>
      <c r="M19" s="105">
        <v>3.5854235854374581</v>
      </c>
      <c r="N19" s="105">
        <v>1.5166770336013549</v>
      </c>
      <c r="O19" s="111">
        <v>-10</v>
      </c>
      <c r="P19" s="105">
        <v>4.3021414357557264</v>
      </c>
      <c r="Q19" s="210">
        <v>4.3021414357557264</v>
      </c>
    </row>
    <row r="20" spans="2:17" x14ac:dyDescent="0.25">
      <c r="B20" s="207" t="s">
        <v>234</v>
      </c>
      <c r="C20" s="117" t="s">
        <v>240</v>
      </c>
      <c r="D20" s="117" t="s">
        <v>106</v>
      </c>
      <c r="E20" s="118">
        <v>3.7309188065830301</v>
      </c>
      <c r="F20" s="119">
        <v>-8.6252467380160951</v>
      </c>
      <c r="G20" s="120">
        <v>-10</v>
      </c>
      <c r="H20" s="119">
        <v>7.6020599913279625</v>
      </c>
      <c r="I20" s="121">
        <v>-10</v>
      </c>
      <c r="J20" s="122">
        <v>-10</v>
      </c>
      <c r="K20" s="119">
        <v>3.7129344451618769</v>
      </c>
      <c r="L20" s="119">
        <v>13.785882194069535</v>
      </c>
      <c r="M20" s="119">
        <v>7.5325183700632286</v>
      </c>
      <c r="N20" s="119">
        <v>2.4646418365851863</v>
      </c>
      <c r="O20" s="120">
        <v>-10</v>
      </c>
      <c r="P20" s="119">
        <v>1.2356180906750571</v>
      </c>
      <c r="Q20" s="208">
        <v>1.2356180906750571</v>
      </c>
    </row>
    <row r="21" spans="2:17" x14ac:dyDescent="0.25">
      <c r="B21" s="207" t="s">
        <v>234</v>
      </c>
      <c r="C21" s="117" t="s">
        <v>240</v>
      </c>
      <c r="D21" s="117" t="s">
        <v>107</v>
      </c>
      <c r="E21" s="118">
        <v>3.99999999999969</v>
      </c>
      <c r="F21" s="119">
        <v>-8.6236876397413393</v>
      </c>
      <c r="G21" s="120">
        <v>-10</v>
      </c>
      <c r="H21" s="119">
        <v>7.6020599913279625</v>
      </c>
      <c r="I21" s="121">
        <v>-10</v>
      </c>
      <c r="J21" s="122">
        <v>-10</v>
      </c>
      <c r="K21" s="119">
        <v>3.7169036771092161</v>
      </c>
      <c r="L21" s="119">
        <v>13.815372944908011</v>
      </c>
      <c r="M21" s="119">
        <v>7.5261827539182535</v>
      </c>
      <c r="N21" s="119">
        <v>2.4638545055426211</v>
      </c>
      <c r="O21" s="120">
        <v>-10</v>
      </c>
      <c r="P21" s="119">
        <v>1.2357284717868227</v>
      </c>
      <c r="Q21" s="208">
        <v>1.2357284717868227</v>
      </c>
    </row>
    <row r="22" spans="2:17" x14ac:dyDescent="0.25">
      <c r="B22" s="207" t="s">
        <v>234</v>
      </c>
      <c r="C22" s="117" t="s">
        <v>240</v>
      </c>
      <c r="D22" s="117" t="s">
        <v>108</v>
      </c>
      <c r="E22" s="118">
        <v>4.5476548103997096</v>
      </c>
      <c r="F22" s="119">
        <v>-8.5807572791784512</v>
      </c>
      <c r="G22" s="120">
        <v>-10</v>
      </c>
      <c r="H22" s="119">
        <v>7.6020599913279625</v>
      </c>
      <c r="I22" s="121">
        <v>-10</v>
      </c>
      <c r="J22" s="122">
        <v>-10</v>
      </c>
      <c r="K22" s="119">
        <v>3.7650270173939369</v>
      </c>
      <c r="L22" s="119">
        <v>14.175428441706284</v>
      </c>
      <c r="M22" s="119">
        <v>7.2454612141647283</v>
      </c>
      <c r="N22" s="119">
        <v>2.4084285982135234</v>
      </c>
      <c r="O22" s="120">
        <v>-10</v>
      </c>
      <c r="P22" s="119">
        <v>1.2989943434424942</v>
      </c>
      <c r="Q22" s="208">
        <v>1.2989943434424942</v>
      </c>
    </row>
    <row r="23" spans="2:17" x14ac:dyDescent="0.25">
      <c r="B23" s="207" t="s">
        <v>234</v>
      </c>
      <c r="C23" s="117" t="s">
        <v>240</v>
      </c>
      <c r="D23" s="117" t="s">
        <v>109</v>
      </c>
      <c r="E23" s="118">
        <v>5.0000000000004698</v>
      </c>
      <c r="F23" s="119">
        <v>-8.5602306019241308</v>
      </c>
      <c r="G23" s="120">
        <v>-10</v>
      </c>
      <c r="H23" s="119">
        <v>7.6020599913279625</v>
      </c>
      <c r="I23" s="121">
        <v>-10</v>
      </c>
      <c r="J23" s="122">
        <v>-10</v>
      </c>
      <c r="K23" s="119">
        <v>3.8007910581017428</v>
      </c>
      <c r="L23" s="119">
        <v>14.446012667346166</v>
      </c>
      <c r="M23" s="119">
        <v>7.1395769449937045</v>
      </c>
      <c r="N23" s="119">
        <v>2.3896928276174187</v>
      </c>
      <c r="O23" s="120">
        <v>-10</v>
      </c>
      <c r="P23" s="119">
        <v>1.5388467885925006</v>
      </c>
      <c r="Q23" s="208">
        <v>1.5388467885925006</v>
      </c>
    </row>
    <row r="24" spans="2:17" x14ac:dyDescent="0.25">
      <c r="B24" s="207" t="s">
        <v>234</v>
      </c>
      <c r="C24" s="117" t="s">
        <v>240</v>
      </c>
      <c r="D24" s="117" t="s">
        <v>110</v>
      </c>
      <c r="E24" s="118">
        <v>5.4523451896012496</v>
      </c>
      <c r="F24" s="119">
        <v>-8.4965488851545405</v>
      </c>
      <c r="G24" s="120">
        <v>-10</v>
      </c>
      <c r="H24" s="119">
        <v>7.6020599913279625</v>
      </c>
      <c r="I24" s="121">
        <v>-10</v>
      </c>
      <c r="J24" s="122">
        <v>-10</v>
      </c>
      <c r="K24" s="119">
        <v>3.8830721284753422</v>
      </c>
      <c r="L24" s="119">
        <v>15.078249154942025</v>
      </c>
      <c r="M24" s="119">
        <v>6.7937799120453297</v>
      </c>
      <c r="N24" s="119">
        <v>2.3207412438790662</v>
      </c>
      <c r="O24" s="120">
        <v>-10</v>
      </c>
      <c r="P24" s="119">
        <v>1.6621039053843676</v>
      </c>
      <c r="Q24" s="208">
        <v>1.6621039053843676</v>
      </c>
    </row>
    <row r="25" spans="2:17" x14ac:dyDescent="0.25">
      <c r="B25" s="207" t="s">
        <v>234</v>
      </c>
      <c r="C25" s="117" t="s">
        <v>240</v>
      </c>
      <c r="D25" s="117" t="s">
        <v>111</v>
      </c>
      <c r="E25" s="118">
        <v>6</v>
      </c>
      <c r="F25" s="119">
        <v>-8.3563165525339134</v>
      </c>
      <c r="G25" s="120">
        <v>-10</v>
      </c>
      <c r="H25" s="119">
        <v>7.6020599913279625</v>
      </c>
      <c r="I25" s="121">
        <v>-10</v>
      </c>
      <c r="J25" s="122">
        <v>-10</v>
      </c>
      <c r="K25" s="119">
        <v>4.0325794708550555</v>
      </c>
      <c r="L25" s="119">
        <v>16.261697188761641</v>
      </c>
      <c r="M25" s="119">
        <v>6.1343122478997563</v>
      </c>
      <c r="N25" s="119">
        <v>2.1759552038249583</v>
      </c>
      <c r="O25" s="120">
        <v>-10</v>
      </c>
      <c r="P25" s="119">
        <v>1.7893644928511476</v>
      </c>
      <c r="Q25" s="208">
        <v>1.7893644928511476</v>
      </c>
    </row>
    <row r="26" spans="2:17" x14ac:dyDescent="0.25">
      <c r="B26" s="207" t="s">
        <v>234</v>
      </c>
      <c r="C26" s="117" t="s">
        <v>240</v>
      </c>
      <c r="D26" s="117" t="s">
        <v>112</v>
      </c>
      <c r="E26" s="118">
        <v>6.2690811934165502</v>
      </c>
      <c r="F26" s="119">
        <v>-8.2787099797590145</v>
      </c>
      <c r="G26" s="120">
        <v>-10</v>
      </c>
      <c r="H26" s="119">
        <v>7.6020599913279625</v>
      </c>
      <c r="I26" s="121">
        <v>-10</v>
      </c>
      <c r="J26" s="122">
        <v>-10</v>
      </c>
      <c r="K26" s="119">
        <v>4.1375965278308966</v>
      </c>
      <c r="L26" s="119">
        <v>17.119705027118293</v>
      </c>
      <c r="M26" s="119">
        <v>5.8182762926063729</v>
      </c>
      <c r="N26" s="119">
        <v>2.1100504601818657</v>
      </c>
      <c r="O26" s="120">
        <v>-10</v>
      </c>
      <c r="P26" s="119">
        <v>2.0666666881392608</v>
      </c>
      <c r="Q26" s="208">
        <v>2.0666666881392608</v>
      </c>
    </row>
    <row r="27" spans="2:17" x14ac:dyDescent="0.25">
      <c r="B27" s="209" t="s">
        <v>104</v>
      </c>
      <c r="C27" s="110" t="s">
        <v>241</v>
      </c>
      <c r="D27" s="110" t="s">
        <v>106</v>
      </c>
      <c r="E27" s="108">
        <v>0.11688435329509</v>
      </c>
      <c r="F27" s="105">
        <v>-10</v>
      </c>
      <c r="G27" s="111">
        <v>-10</v>
      </c>
      <c r="H27" s="105">
        <v>-10</v>
      </c>
      <c r="I27" s="113">
        <v>-10</v>
      </c>
      <c r="J27" s="112">
        <v>-10</v>
      </c>
      <c r="K27" s="105">
        <v>0</v>
      </c>
      <c r="L27" s="105">
        <v>0</v>
      </c>
      <c r="M27" s="105" t="e">
        <v>#VALUE!</v>
      </c>
      <c r="N27" s="105" t="e">
        <v>#VALUE!</v>
      </c>
      <c r="O27" s="111">
        <v>-10</v>
      </c>
      <c r="P27" s="105">
        <v>-10</v>
      </c>
      <c r="Q27" s="210">
        <v>-10</v>
      </c>
    </row>
    <row r="28" spans="2:17" x14ac:dyDescent="0.25">
      <c r="B28" s="209" t="s">
        <v>104</v>
      </c>
      <c r="C28" s="110" t="s">
        <v>241</v>
      </c>
      <c r="D28" s="110" t="s">
        <v>107</v>
      </c>
      <c r="E28" s="108">
        <v>0.27748123592527502</v>
      </c>
      <c r="F28" s="105">
        <v>-10</v>
      </c>
      <c r="G28" s="111">
        <v>-10</v>
      </c>
      <c r="H28" s="105">
        <v>-10</v>
      </c>
      <c r="I28" s="113">
        <v>-10</v>
      </c>
      <c r="J28" s="112">
        <v>-10</v>
      </c>
      <c r="K28" s="105">
        <v>0</v>
      </c>
      <c r="L28" s="105">
        <v>0</v>
      </c>
      <c r="M28" s="105" t="e">
        <v>#VALUE!</v>
      </c>
      <c r="N28" s="105" t="e">
        <v>#VALUE!</v>
      </c>
      <c r="O28" s="111">
        <v>-10</v>
      </c>
      <c r="P28" s="105">
        <v>-10</v>
      </c>
      <c r="Q28" s="210">
        <v>-10</v>
      </c>
    </row>
    <row r="29" spans="2:17" x14ac:dyDescent="0.25">
      <c r="B29" s="209" t="s">
        <v>104</v>
      </c>
      <c r="C29" s="110" t="s">
        <v>241</v>
      </c>
      <c r="D29" s="110" t="s">
        <v>108</v>
      </c>
      <c r="E29" s="108">
        <v>0.95031365550907998</v>
      </c>
      <c r="F29" s="105">
        <v>-10</v>
      </c>
      <c r="G29" s="111">
        <v>-10</v>
      </c>
      <c r="H29" s="105">
        <v>-10</v>
      </c>
      <c r="I29" s="113">
        <v>-10</v>
      </c>
      <c r="J29" s="112">
        <v>-10</v>
      </c>
      <c r="K29" s="105">
        <v>0</v>
      </c>
      <c r="L29" s="105">
        <v>0</v>
      </c>
      <c r="M29" s="105" t="e">
        <v>#VALUE!</v>
      </c>
      <c r="N29" s="105" t="e">
        <v>#VALUE!</v>
      </c>
      <c r="O29" s="111">
        <v>-10</v>
      </c>
      <c r="P29" s="105">
        <v>-10</v>
      </c>
      <c r="Q29" s="210">
        <v>-10</v>
      </c>
    </row>
    <row r="30" spans="2:17" x14ac:dyDescent="0.25">
      <c r="B30" s="209" t="s">
        <v>104</v>
      </c>
      <c r="C30" s="110" t="s">
        <v>241</v>
      </c>
      <c r="D30" s="110" t="s">
        <v>109</v>
      </c>
      <c r="E30" s="108">
        <v>2.2360679774997898</v>
      </c>
      <c r="F30" s="105">
        <v>-9.985110953554118</v>
      </c>
      <c r="G30" s="111">
        <v>-10</v>
      </c>
      <c r="H30" s="105">
        <v>4.889046445881835</v>
      </c>
      <c r="I30" s="113">
        <v>-10</v>
      </c>
      <c r="J30" s="112">
        <v>-10</v>
      </c>
      <c r="K30" s="105">
        <v>0.47083298957021674</v>
      </c>
      <c r="L30" s="105">
        <v>0.22168370406762783</v>
      </c>
      <c r="M30" s="105">
        <v>1002.9999999999549</v>
      </c>
      <c r="N30" s="105">
        <v>31.62277660168284</v>
      </c>
      <c r="O30" s="111">
        <v>-10</v>
      </c>
      <c r="P30" s="105">
        <v>-10</v>
      </c>
      <c r="Q30" s="210">
        <v>-10</v>
      </c>
    </row>
    <row r="31" spans="2:17" x14ac:dyDescent="0.25">
      <c r="B31" s="209" t="s">
        <v>104</v>
      </c>
      <c r="C31" s="110" t="s">
        <v>241</v>
      </c>
      <c r="D31" s="110" t="s">
        <v>110</v>
      </c>
      <c r="E31" s="108">
        <v>5.26142076462272</v>
      </c>
      <c r="F31" s="105">
        <v>-9.9022360226328381</v>
      </c>
      <c r="G31" s="111">
        <v>-10</v>
      </c>
      <c r="H31" s="105">
        <v>7.6020599913279625</v>
      </c>
      <c r="I31" s="113">
        <v>-10</v>
      </c>
      <c r="J31" s="112">
        <v>-10</v>
      </c>
      <c r="K31" s="105">
        <v>1.0775141208680807</v>
      </c>
      <c r="L31" s="105">
        <v>1.1610366806701127</v>
      </c>
      <c r="M31" s="105">
        <v>161.74046161215165</v>
      </c>
      <c r="N31" s="105">
        <v>12.110998269008158</v>
      </c>
      <c r="O31" s="111">
        <v>-10</v>
      </c>
      <c r="P31" s="105">
        <v>-10</v>
      </c>
      <c r="Q31" s="210">
        <v>-10</v>
      </c>
    </row>
    <row r="32" spans="2:17" x14ac:dyDescent="0.25">
      <c r="B32" s="209" t="s">
        <v>104</v>
      </c>
      <c r="C32" s="110" t="s">
        <v>241</v>
      </c>
      <c r="D32" s="110" t="s">
        <v>111</v>
      </c>
      <c r="E32" s="108">
        <v>18.019236447925</v>
      </c>
      <c r="F32" s="105">
        <v>1.173234398940219</v>
      </c>
      <c r="G32" s="111">
        <v>-10</v>
      </c>
      <c r="H32" s="105">
        <v>7.6020599913279625</v>
      </c>
      <c r="I32" s="113">
        <v>7.6020599913279625</v>
      </c>
      <c r="J32" s="112">
        <v>0.8769098043590442</v>
      </c>
      <c r="K32" s="105">
        <v>2.249948121171375</v>
      </c>
      <c r="L32" s="105">
        <v>5.0622665479626008</v>
      </c>
      <c r="M32" s="105">
        <v>7.819076264520052</v>
      </c>
      <c r="N32" s="105">
        <v>-0.38806284742654451</v>
      </c>
      <c r="O32" s="111">
        <v>-1.3565473235138126</v>
      </c>
      <c r="P32" s="105">
        <v>5.0275322883599305</v>
      </c>
      <c r="Q32" s="210">
        <v>5.0275322883599305</v>
      </c>
    </row>
    <row r="33" spans="2:17" x14ac:dyDescent="0.25">
      <c r="B33" s="209" t="s">
        <v>104</v>
      </c>
      <c r="C33" s="110" t="s">
        <v>241</v>
      </c>
      <c r="D33" s="110" t="s">
        <v>112</v>
      </c>
      <c r="E33" s="108">
        <v>42.777325271046699</v>
      </c>
      <c r="F33" s="105">
        <v>2.675288542284425</v>
      </c>
      <c r="G33" s="111">
        <v>-0.78515615195230215</v>
      </c>
      <c r="H33" s="105">
        <v>7.6020599913279625</v>
      </c>
      <c r="I33" s="113">
        <v>7.6020599913279625</v>
      </c>
      <c r="J33" s="112">
        <v>2.3167357344511861</v>
      </c>
      <c r="K33" s="105">
        <v>1.9065396677355717</v>
      </c>
      <c r="L33" s="105">
        <v>3.6348935046492641</v>
      </c>
      <c r="M33" s="105">
        <v>2.9370456856746507</v>
      </c>
      <c r="N33" s="105">
        <v>0.72980054465245181</v>
      </c>
      <c r="O33" s="111">
        <v>0.1897709563468738</v>
      </c>
      <c r="P33" s="105">
        <v>6.4060474035332904</v>
      </c>
      <c r="Q33" s="210">
        <v>6.4060474035332904</v>
      </c>
    </row>
    <row r="34" spans="2:17" x14ac:dyDescent="0.25">
      <c r="B34" s="207" t="s">
        <v>131</v>
      </c>
      <c r="C34" s="117" t="s">
        <v>242</v>
      </c>
      <c r="D34" s="117" t="s">
        <v>106</v>
      </c>
      <c r="E34" s="118">
        <v>-0.13958087244244999</v>
      </c>
      <c r="F34" s="119">
        <v>-9.1567591535378074</v>
      </c>
      <c r="G34" s="120">
        <v>-10</v>
      </c>
      <c r="H34" s="119">
        <v>7.6020599913279625</v>
      </c>
      <c r="I34" s="121">
        <v>-10</v>
      </c>
      <c r="J34" s="122">
        <v>-10</v>
      </c>
      <c r="K34" s="119">
        <v>2.9559646501921457</v>
      </c>
      <c r="L34" s="119">
        <v>8.7377270131855749</v>
      </c>
      <c r="M34" s="119">
        <v>13.03063360698707</v>
      </c>
      <c r="N34" s="119">
        <v>3.3742721320384463</v>
      </c>
      <c r="O34" s="120">
        <v>-10</v>
      </c>
      <c r="P34" s="119">
        <v>-0.22738129852249087</v>
      </c>
      <c r="Q34" s="208">
        <v>-0.22738129852249087</v>
      </c>
    </row>
    <row r="35" spans="2:17" x14ac:dyDescent="0.25">
      <c r="B35" s="207" t="s">
        <v>131</v>
      </c>
      <c r="C35" s="117" t="s">
        <v>242</v>
      </c>
      <c r="D35" s="117" t="s">
        <v>107</v>
      </c>
      <c r="E35" s="118">
        <v>-9.8691217617088406E-2</v>
      </c>
      <c r="F35" s="119">
        <v>-8.9959197711995138</v>
      </c>
      <c r="G35" s="120">
        <v>-10</v>
      </c>
      <c r="H35" s="119">
        <v>7.6020599913279625</v>
      </c>
      <c r="I35" s="121">
        <v>-10</v>
      </c>
      <c r="J35" s="122">
        <v>-10</v>
      </c>
      <c r="K35" s="119">
        <v>3.1979370908925397</v>
      </c>
      <c r="L35" s="119">
        <v>10.22680163730624</v>
      </c>
      <c r="M35" s="119">
        <v>10.629520264723038</v>
      </c>
      <c r="N35" s="119">
        <v>3.0138059553461889</v>
      </c>
      <c r="O35" s="120">
        <v>-10</v>
      </c>
      <c r="P35" s="119">
        <v>0.16131492486061519</v>
      </c>
      <c r="Q35" s="208">
        <v>0.16131492486061519</v>
      </c>
    </row>
    <row r="36" spans="2:17" x14ac:dyDescent="0.25">
      <c r="B36" s="207" t="s">
        <v>131</v>
      </c>
      <c r="C36" s="117" t="s">
        <v>242</v>
      </c>
      <c r="D36" s="117" t="s">
        <v>108</v>
      </c>
      <c r="E36" s="118">
        <v>-4.0469385011764898E-2</v>
      </c>
      <c r="F36" s="119">
        <v>-8.7235608399175284</v>
      </c>
      <c r="G36" s="120">
        <v>-10</v>
      </c>
      <c r="H36" s="119">
        <v>7.6020599913279625</v>
      </c>
      <c r="I36" s="121">
        <v>-10</v>
      </c>
      <c r="J36" s="122">
        <v>-10</v>
      </c>
      <c r="K36" s="119">
        <v>3.5830285977065888</v>
      </c>
      <c r="L36" s="119">
        <v>12.838093931983243</v>
      </c>
      <c r="M36" s="119">
        <v>8.2084784563934754</v>
      </c>
      <c r="N36" s="119">
        <v>2.5922107288151226</v>
      </c>
      <c r="O36" s="120">
        <v>-10</v>
      </c>
      <c r="P36" s="119">
        <v>1.1611283253624993</v>
      </c>
      <c r="Q36" s="208">
        <v>1.1611283253624993</v>
      </c>
    </row>
    <row r="37" spans="2:17" x14ac:dyDescent="0.25">
      <c r="B37" s="207" t="s">
        <v>131</v>
      </c>
      <c r="C37" s="117" t="s">
        <v>242</v>
      </c>
      <c r="D37" s="117" t="s">
        <v>109</v>
      </c>
      <c r="E37" s="118">
        <v>0</v>
      </c>
      <c r="F37" s="119">
        <v>-8.5328131225699515</v>
      </c>
      <c r="G37" s="120">
        <v>-10</v>
      </c>
      <c r="H37" s="119">
        <v>7.6020599913279625</v>
      </c>
      <c r="I37" s="121">
        <v>-10</v>
      </c>
      <c r="J37" s="122">
        <v>-10</v>
      </c>
      <c r="K37" s="119">
        <v>3.8100296740843604</v>
      </c>
      <c r="L37" s="119">
        <v>14.516326117403377</v>
      </c>
      <c r="M37" s="119">
        <v>6.9209515011657317</v>
      </c>
      <c r="N37" s="119">
        <v>2.3435672319307757</v>
      </c>
      <c r="O37" s="120">
        <v>-10</v>
      </c>
      <c r="P37" s="119">
        <v>1.4149901616835423</v>
      </c>
      <c r="Q37" s="208">
        <v>1.4149901616835423</v>
      </c>
    </row>
    <row r="38" spans="2:17" x14ac:dyDescent="0.25">
      <c r="B38" s="207" t="s">
        <v>131</v>
      </c>
      <c r="C38" s="117" t="s">
        <v>242</v>
      </c>
      <c r="D38" s="117" t="s">
        <v>110</v>
      </c>
      <c r="E38" s="118">
        <v>4.0469385011764898E-2</v>
      </c>
      <c r="F38" s="119">
        <v>-8.3438313701196325</v>
      </c>
      <c r="G38" s="120">
        <v>-10</v>
      </c>
      <c r="H38" s="119">
        <v>7.6020599913279625</v>
      </c>
      <c r="I38" s="121">
        <v>-10</v>
      </c>
      <c r="J38" s="122">
        <v>-10</v>
      </c>
      <c r="K38" s="119">
        <v>4.0272836100533311</v>
      </c>
      <c r="L38" s="119">
        <v>16.219013275804194</v>
      </c>
      <c r="M38" s="119">
        <v>5.9840695388376712</v>
      </c>
      <c r="N38" s="119">
        <v>2.1451560536564367</v>
      </c>
      <c r="O38" s="120">
        <v>-10</v>
      </c>
      <c r="P38" s="119">
        <v>1.7106250150607969</v>
      </c>
      <c r="Q38" s="208">
        <v>1.7106250150607969</v>
      </c>
    </row>
    <row r="39" spans="2:17" x14ac:dyDescent="0.25">
      <c r="B39" s="207" t="s">
        <v>131</v>
      </c>
      <c r="C39" s="117" t="s">
        <v>242</v>
      </c>
      <c r="D39" s="117" t="s">
        <v>111</v>
      </c>
      <c r="E39" s="118">
        <v>9.8691217617088295E-2</v>
      </c>
      <c r="F39" s="119">
        <v>-8.0058031046707825</v>
      </c>
      <c r="G39" s="120">
        <v>-10</v>
      </c>
      <c r="H39" s="119">
        <v>7.6020599913279625</v>
      </c>
      <c r="I39" s="121">
        <v>-10</v>
      </c>
      <c r="J39" s="122">
        <v>-10</v>
      </c>
      <c r="K39" s="119">
        <v>4.3694559706696445</v>
      </c>
      <c r="L39" s="119">
        <v>19.092145479620605</v>
      </c>
      <c r="M39" s="119">
        <v>4.8026141507807605</v>
      </c>
      <c r="N39" s="119">
        <v>1.8583265303653889</v>
      </c>
      <c r="O39" s="120">
        <v>-10</v>
      </c>
      <c r="P39" s="119">
        <v>2.107938702824383</v>
      </c>
      <c r="Q39" s="208">
        <v>2.107938702824383</v>
      </c>
    </row>
    <row r="40" spans="2:17" x14ac:dyDescent="0.25">
      <c r="B40" s="207" t="s">
        <v>131</v>
      </c>
      <c r="C40" s="117" t="s">
        <v>242</v>
      </c>
      <c r="D40" s="117" t="s">
        <v>112</v>
      </c>
      <c r="E40" s="118">
        <v>0.13958087244244999</v>
      </c>
      <c r="F40" s="119">
        <v>-7.8028317264532872</v>
      </c>
      <c r="G40" s="120">
        <v>-10</v>
      </c>
      <c r="H40" s="119">
        <v>7.6020599913279625</v>
      </c>
      <c r="I40" s="121">
        <v>-10</v>
      </c>
      <c r="J40" s="122">
        <v>-10</v>
      </c>
      <c r="K40" s="119">
        <v>4.5556737067777311</v>
      </c>
      <c r="L40" s="119">
        <v>20.754162922625952</v>
      </c>
      <c r="M40" s="119">
        <v>4.268088596818429</v>
      </c>
      <c r="N40" s="119">
        <v>1.713365244911953</v>
      </c>
      <c r="O40" s="120">
        <v>-10</v>
      </c>
      <c r="P40" s="119">
        <v>2.4934696158807852</v>
      </c>
      <c r="Q40" s="208">
        <v>2.4934696158807852</v>
      </c>
    </row>
    <row r="41" spans="2:17" x14ac:dyDescent="0.25">
      <c r="B41" s="209" t="s">
        <v>114</v>
      </c>
      <c r="C41" s="110" t="s">
        <v>243</v>
      </c>
      <c r="D41" s="110" t="s">
        <v>106</v>
      </c>
      <c r="E41" s="108">
        <v>49.44</v>
      </c>
      <c r="F41" s="105">
        <v>-8.4993812933379473</v>
      </c>
      <c r="G41" s="111">
        <v>-10</v>
      </c>
      <c r="H41" s="105">
        <v>7.6020599913279625</v>
      </c>
      <c r="I41" s="113">
        <v>-10</v>
      </c>
      <c r="J41" s="112">
        <v>-10</v>
      </c>
      <c r="K41" s="105">
        <v>3.9416337316341967</v>
      </c>
      <c r="L41" s="105">
        <v>15.536476474356524</v>
      </c>
      <c r="M41" s="105">
        <v>7.2182884939129277</v>
      </c>
      <c r="N41" s="105">
        <v>2.3950681310325219</v>
      </c>
      <c r="O41" s="111">
        <v>-10</v>
      </c>
      <c r="P41" s="105">
        <v>1.8415860425868924</v>
      </c>
      <c r="Q41" s="210">
        <v>1.8415860425868924</v>
      </c>
    </row>
    <row r="42" spans="2:17" x14ac:dyDescent="0.25">
      <c r="B42" s="209" t="s">
        <v>114</v>
      </c>
      <c r="C42" s="110" t="s">
        <v>243</v>
      </c>
      <c r="D42" s="110" t="s">
        <v>107</v>
      </c>
      <c r="E42" s="108">
        <v>55.2</v>
      </c>
      <c r="F42" s="105">
        <v>-8.5024247850585102</v>
      </c>
      <c r="G42" s="111">
        <v>-10</v>
      </c>
      <c r="H42" s="105">
        <v>7.6020599913279625</v>
      </c>
      <c r="I42" s="113">
        <v>-10</v>
      </c>
      <c r="J42" s="112">
        <v>-10</v>
      </c>
      <c r="K42" s="105">
        <v>3.9327336382008369</v>
      </c>
      <c r="L42" s="105">
        <v>15.46639386903639</v>
      </c>
      <c r="M42" s="105">
        <v>7.2058010500096739</v>
      </c>
      <c r="N42" s="105">
        <v>2.3931275454675576</v>
      </c>
      <c r="O42" s="111">
        <v>-10</v>
      </c>
      <c r="P42" s="105">
        <v>1.8079856996067496</v>
      </c>
      <c r="Q42" s="210">
        <v>1.8079856996067496</v>
      </c>
    </row>
    <row r="43" spans="2:17" x14ac:dyDescent="0.25">
      <c r="B43" s="209" t="s">
        <v>114</v>
      </c>
      <c r="C43" s="110" t="s">
        <v>243</v>
      </c>
      <c r="D43" s="110" t="s">
        <v>108</v>
      </c>
      <c r="E43" s="108">
        <v>84</v>
      </c>
      <c r="F43" s="105">
        <v>-8.5176422436613155</v>
      </c>
      <c r="G43" s="111">
        <v>-10</v>
      </c>
      <c r="H43" s="105">
        <v>7.6020599913279625</v>
      </c>
      <c r="I43" s="113">
        <v>-10</v>
      </c>
      <c r="J43" s="112">
        <v>-10</v>
      </c>
      <c r="K43" s="105">
        <v>3.8884779410582846</v>
      </c>
      <c r="L43" s="105">
        <v>15.120260698096875</v>
      </c>
      <c r="M43" s="105">
        <v>7.1475029115041844</v>
      </c>
      <c r="N43" s="105">
        <v>2.3839419748131898</v>
      </c>
      <c r="O43" s="111">
        <v>-10</v>
      </c>
      <c r="P43" s="105">
        <v>1.6337107848792265</v>
      </c>
      <c r="Q43" s="210">
        <v>1.6337107848792265</v>
      </c>
    </row>
    <row r="44" spans="2:17" x14ac:dyDescent="0.25">
      <c r="B44" s="209" t="s">
        <v>114</v>
      </c>
      <c r="C44" s="110" t="s">
        <v>243</v>
      </c>
      <c r="D44" s="110" t="s">
        <v>109</v>
      </c>
      <c r="E44" s="108">
        <v>120</v>
      </c>
      <c r="F44" s="105">
        <v>-8.5366640669148275</v>
      </c>
      <c r="G44" s="111">
        <v>-10</v>
      </c>
      <c r="H44" s="105">
        <v>7.6020599913279625</v>
      </c>
      <c r="I44" s="113">
        <v>-10</v>
      </c>
      <c r="J44" s="112">
        <v>-10</v>
      </c>
      <c r="K44" s="105">
        <v>3.8337481850183002</v>
      </c>
      <c r="L44" s="105">
        <v>14.697625146131109</v>
      </c>
      <c r="M44" s="105">
        <v>7.0848694297122137</v>
      </c>
      <c r="N44" s="105">
        <v>2.3737504727958743</v>
      </c>
      <c r="O44" s="111">
        <v>-10</v>
      </c>
      <c r="P44" s="105">
        <v>1.5662724642977817</v>
      </c>
      <c r="Q44" s="210">
        <v>1.5662724642977817</v>
      </c>
    </row>
    <row r="45" spans="2:17" x14ac:dyDescent="0.25">
      <c r="B45" s="209" t="s">
        <v>114</v>
      </c>
      <c r="C45" s="110" t="s">
        <v>243</v>
      </c>
      <c r="D45" s="110" t="s">
        <v>110</v>
      </c>
      <c r="E45" s="108">
        <v>156</v>
      </c>
      <c r="F45" s="105">
        <v>-8.5559398980516228</v>
      </c>
      <c r="G45" s="111">
        <v>-10</v>
      </c>
      <c r="H45" s="105">
        <v>7.6020599913279625</v>
      </c>
      <c r="I45" s="113">
        <v>-10</v>
      </c>
      <c r="J45" s="112">
        <v>-10</v>
      </c>
      <c r="K45" s="105">
        <v>3.778621834129126</v>
      </c>
      <c r="L45" s="105">
        <v>14.27798296535736</v>
      </c>
      <c r="M45" s="105">
        <v>7.0224888977917876</v>
      </c>
      <c r="N45" s="105">
        <v>2.3637075910013814</v>
      </c>
      <c r="O45" s="111">
        <v>-10</v>
      </c>
      <c r="P45" s="105">
        <v>1.4246320169400828</v>
      </c>
      <c r="Q45" s="210">
        <v>1.4246320169400828</v>
      </c>
    </row>
    <row r="46" spans="2:17" x14ac:dyDescent="0.25">
      <c r="B46" s="209" t="s">
        <v>114</v>
      </c>
      <c r="C46" s="110" t="s">
        <v>243</v>
      </c>
      <c r="D46" s="110" t="s">
        <v>111</v>
      </c>
      <c r="E46" s="108">
        <v>184.8</v>
      </c>
      <c r="F46" s="105">
        <v>-8.5725202195496948</v>
      </c>
      <c r="G46" s="111">
        <v>-10</v>
      </c>
      <c r="H46" s="105">
        <v>7.6020599913279625</v>
      </c>
      <c r="I46" s="113">
        <v>-10</v>
      </c>
      <c r="J46" s="112">
        <v>-10</v>
      </c>
      <c r="K46" s="105">
        <v>3.7301430571736272</v>
      </c>
      <c r="L46" s="105">
        <v>13.913967226980613</v>
      </c>
      <c r="M46" s="105">
        <v>6.9275626516913151</v>
      </c>
      <c r="N46" s="105">
        <v>2.3504493074779425</v>
      </c>
      <c r="O46" s="111">
        <v>-10</v>
      </c>
      <c r="P46" s="105">
        <v>1.3119417397382422</v>
      </c>
      <c r="Q46" s="210">
        <v>1.3119417397382422</v>
      </c>
    </row>
    <row r="47" spans="2:17" ht="15.75" thickBot="1" x14ac:dyDescent="0.3">
      <c r="B47" s="211" t="s">
        <v>114</v>
      </c>
      <c r="C47" s="212" t="s">
        <v>243</v>
      </c>
      <c r="D47" s="212" t="s">
        <v>112</v>
      </c>
      <c r="E47" s="213">
        <v>190.56</v>
      </c>
      <c r="F47" s="214">
        <v>-8.5758453704387865</v>
      </c>
      <c r="G47" s="215">
        <v>-10</v>
      </c>
      <c r="H47" s="214">
        <v>7.6020599913279625</v>
      </c>
      <c r="I47" s="216">
        <v>-10</v>
      </c>
      <c r="J47" s="217">
        <v>-10</v>
      </c>
      <c r="K47" s="214">
        <v>3.7204775448879537</v>
      </c>
      <c r="L47" s="214">
        <v>13.841953162015496</v>
      </c>
      <c r="M47" s="214">
        <v>6.9095253399308891</v>
      </c>
      <c r="N47" s="214">
        <v>2.3479121171458872</v>
      </c>
      <c r="O47" s="215">
        <v>-10</v>
      </c>
      <c r="P47" s="214">
        <v>1.2894036842978742</v>
      </c>
      <c r="Q47" s="218">
        <v>1.2894036842978742</v>
      </c>
    </row>
    <row r="51" spans="3:4" x14ac:dyDescent="0.25">
      <c r="C51"/>
      <c r="D51"/>
    </row>
    <row r="52" spans="3:4" x14ac:dyDescent="0.25">
      <c r="C52"/>
      <c r="D52"/>
    </row>
    <row r="53" spans="3:4" x14ac:dyDescent="0.25">
      <c r="C53"/>
      <c r="D53"/>
    </row>
    <row r="54" spans="3:4" x14ac:dyDescent="0.25">
      <c r="C54"/>
      <c r="D54"/>
    </row>
    <row r="55" spans="3:4" x14ac:dyDescent="0.25">
      <c r="C55"/>
      <c r="D55"/>
    </row>
    <row r="56" spans="3:4" x14ac:dyDescent="0.25">
      <c r="C56"/>
      <c r="D56"/>
    </row>
    <row r="57" spans="3:4" x14ac:dyDescent="0.25">
      <c r="C57"/>
      <c r="D57"/>
    </row>
    <row r="58" spans="3:4" x14ac:dyDescent="0.25">
      <c r="C58"/>
      <c r="D58"/>
    </row>
    <row r="59" spans="3:4" x14ac:dyDescent="0.25">
      <c r="C59"/>
      <c r="D59"/>
    </row>
    <row r="60" spans="3:4" x14ac:dyDescent="0.25">
      <c r="C60"/>
      <c r="D60"/>
    </row>
    <row r="61" spans="3:4" x14ac:dyDescent="0.25">
      <c r="C61"/>
      <c r="D61"/>
    </row>
    <row r="62" spans="3:4" x14ac:dyDescent="0.25">
      <c r="C62"/>
      <c r="D62"/>
    </row>
    <row r="63" spans="3:4" x14ac:dyDescent="0.25">
      <c r="C63"/>
      <c r="D63"/>
    </row>
    <row r="64" spans="3:4" x14ac:dyDescent="0.25">
      <c r="C64"/>
      <c r="D64"/>
    </row>
    <row r="65" spans="3:4" x14ac:dyDescent="0.25">
      <c r="C65"/>
      <c r="D65"/>
    </row>
    <row r="66" spans="3:4" x14ac:dyDescent="0.25">
      <c r="C66"/>
      <c r="D66"/>
    </row>
    <row r="67" spans="3:4" x14ac:dyDescent="0.25">
      <c r="C67"/>
      <c r="D67"/>
    </row>
    <row r="68" spans="3:4" x14ac:dyDescent="0.25">
      <c r="C68"/>
      <c r="D68"/>
    </row>
    <row r="69" spans="3:4" x14ac:dyDescent="0.25">
      <c r="C69"/>
      <c r="D69"/>
    </row>
    <row r="70" spans="3:4" x14ac:dyDescent="0.25">
      <c r="C70"/>
      <c r="D70"/>
    </row>
    <row r="71" spans="3:4" x14ac:dyDescent="0.25">
      <c r="C71"/>
      <c r="D71"/>
    </row>
    <row r="72" spans="3:4" x14ac:dyDescent="0.25">
      <c r="C72"/>
      <c r="D72"/>
    </row>
    <row r="73" spans="3:4" x14ac:dyDescent="0.25">
      <c r="C73"/>
      <c r="D73"/>
    </row>
    <row r="74" spans="3:4" x14ac:dyDescent="0.25">
      <c r="C74"/>
      <c r="D74"/>
    </row>
    <row r="75" spans="3:4" x14ac:dyDescent="0.25">
      <c r="C75"/>
      <c r="D75"/>
    </row>
    <row r="76" spans="3:4" x14ac:dyDescent="0.25">
      <c r="C76"/>
      <c r="D76"/>
    </row>
    <row r="77" spans="3:4" x14ac:dyDescent="0.25">
      <c r="C77"/>
      <c r="D77"/>
    </row>
    <row r="78" spans="3:4" x14ac:dyDescent="0.25">
      <c r="C78"/>
      <c r="D78"/>
    </row>
    <row r="79" spans="3:4" x14ac:dyDescent="0.25">
      <c r="C79"/>
      <c r="D79"/>
    </row>
    <row r="80" spans="3:4" x14ac:dyDescent="0.25">
      <c r="C80"/>
      <c r="D80"/>
    </row>
    <row r="81" spans="3:4" x14ac:dyDescent="0.25">
      <c r="C81"/>
      <c r="D81"/>
    </row>
    <row r="82" spans="3:4" x14ac:dyDescent="0.25">
      <c r="C82"/>
      <c r="D82"/>
    </row>
    <row r="83" spans="3:4" x14ac:dyDescent="0.25">
      <c r="C83"/>
      <c r="D83"/>
    </row>
    <row r="84" spans="3:4" x14ac:dyDescent="0.25">
      <c r="C84"/>
      <c r="D84"/>
    </row>
    <row r="85" spans="3:4" x14ac:dyDescent="0.25">
      <c r="C85"/>
      <c r="D85"/>
    </row>
    <row r="86" spans="3:4" x14ac:dyDescent="0.25">
      <c r="C86"/>
      <c r="D86"/>
    </row>
    <row r="87" spans="3:4" x14ac:dyDescent="0.25">
      <c r="C87"/>
      <c r="D87"/>
    </row>
    <row r="88" spans="3:4" x14ac:dyDescent="0.25">
      <c r="C88"/>
      <c r="D88"/>
    </row>
    <row r="89" spans="3:4" x14ac:dyDescent="0.25">
      <c r="C89"/>
      <c r="D89"/>
    </row>
    <row r="90" spans="3:4" x14ac:dyDescent="0.25">
      <c r="C90"/>
      <c r="D90"/>
    </row>
    <row r="91" spans="3:4" x14ac:dyDescent="0.25">
      <c r="C91"/>
      <c r="D91"/>
    </row>
    <row r="92" spans="3:4" x14ac:dyDescent="0.25">
      <c r="C92"/>
      <c r="D92"/>
    </row>
    <row r="93" spans="3:4" x14ac:dyDescent="0.25">
      <c r="C93"/>
      <c r="D93"/>
    </row>
    <row r="94" spans="3:4" x14ac:dyDescent="0.25">
      <c r="C94"/>
      <c r="D94"/>
    </row>
    <row r="95" spans="3:4" x14ac:dyDescent="0.25">
      <c r="C95"/>
      <c r="D95"/>
    </row>
    <row r="96" spans="3:4" x14ac:dyDescent="0.25">
      <c r="C96"/>
      <c r="D96"/>
    </row>
    <row r="97" spans="3:4" x14ac:dyDescent="0.25">
      <c r="C97"/>
      <c r="D97"/>
    </row>
    <row r="98" spans="3:4" x14ac:dyDescent="0.25">
      <c r="C98"/>
      <c r="D98"/>
    </row>
    <row r="99" spans="3:4" x14ac:dyDescent="0.25">
      <c r="C99"/>
      <c r="D99"/>
    </row>
    <row r="100" spans="3:4" x14ac:dyDescent="0.25">
      <c r="C100"/>
      <c r="D100"/>
    </row>
    <row r="101" spans="3:4" x14ac:dyDescent="0.25">
      <c r="C101"/>
      <c r="D101"/>
    </row>
    <row r="102" spans="3:4" x14ac:dyDescent="0.25">
      <c r="C102"/>
      <c r="D102"/>
    </row>
    <row r="103" spans="3:4" x14ac:dyDescent="0.25">
      <c r="C103"/>
      <c r="D103"/>
    </row>
    <row r="104" spans="3:4" x14ac:dyDescent="0.25">
      <c r="C104"/>
      <c r="D104"/>
    </row>
    <row r="105" spans="3:4" x14ac:dyDescent="0.25">
      <c r="C105"/>
      <c r="D105"/>
    </row>
    <row r="106" spans="3:4" x14ac:dyDescent="0.25">
      <c r="C106"/>
      <c r="D106"/>
    </row>
    <row r="107" spans="3:4" x14ac:dyDescent="0.25">
      <c r="C107"/>
      <c r="D107"/>
    </row>
    <row r="108" spans="3:4" x14ac:dyDescent="0.25">
      <c r="C108"/>
      <c r="D108"/>
    </row>
    <row r="109" spans="3:4" x14ac:dyDescent="0.25">
      <c r="C109"/>
      <c r="D109"/>
    </row>
    <row r="110" spans="3:4" x14ac:dyDescent="0.25">
      <c r="C110"/>
      <c r="D110"/>
    </row>
    <row r="111" spans="3:4" x14ac:dyDescent="0.25">
      <c r="C111"/>
      <c r="D111"/>
    </row>
    <row r="112" spans="3:4" x14ac:dyDescent="0.25">
      <c r="C112"/>
      <c r="D112"/>
    </row>
    <row r="113" spans="3:4" x14ac:dyDescent="0.25">
      <c r="C113"/>
      <c r="D113"/>
    </row>
  </sheetData>
  <mergeCells count="3">
    <mergeCell ref="B4:D4"/>
    <mergeCell ref="E4:N4"/>
    <mergeCell ref="B2:Q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Exercise</vt:lpstr>
      <vt:lpstr>senseInfo</vt:lpstr>
      <vt:lpstr>Solutions</vt:lpstr>
      <vt:lpstr>SA simulations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laure.pujol</dc:creator>
  <cp:lastModifiedBy>Géraldine Boué</cp:lastModifiedBy>
  <cp:lastPrinted>2013-02-26T12:22:22Z</cp:lastPrinted>
  <dcterms:created xsi:type="dcterms:W3CDTF">2013-02-18T15:11:19Z</dcterms:created>
  <dcterms:modified xsi:type="dcterms:W3CDTF">2017-02-22T13:36:28Z</dcterms:modified>
</cp:coreProperties>
</file>